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nss-my.sharepoint.com/personal/parkers_nv_doe_gov/Documents/Desktop/New folder/"/>
    </mc:Choice>
  </mc:AlternateContent>
  <xr:revisionPtr revIDLastSave="0" documentId="8_{7866F602-EBA3-48F8-A028-DD9AA730F9EC}" xr6:coauthVersionLast="47" xr6:coauthVersionMax="47" xr10:uidLastSave="{00000000-0000-0000-0000-000000000000}"/>
  <bookViews>
    <workbookView xWindow="-120" yWindow="-120" windowWidth="29040" windowHeight="15720" tabRatio="747" firstSheet="1" activeTab="1" xr2:uid="{00000000-000D-0000-FFFF-FFFF00000000}"/>
  </bookViews>
  <sheets>
    <sheet name="Paving Summary" sheetId="1" state="hidden" r:id="rId1"/>
    <sheet name="OP1" sheetId="19" r:id="rId2"/>
    <sheet name="Ordering Period Pric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9" i="19" l="1"/>
  <c r="J107" i="19"/>
  <c r="J105" i="19"/>
  <c r="J103" i="19"/>
  <c r="J101" i="19"/>
  <c r="J99" i="19"/>
  <c r="J89" i="19"/>
  <c r="J90" i="19"/>
  <c r="J63" i="19"/>
  <c r="J60" i="19"/>
  <c r="J53" i="19"/>
  <c r="J51" i="19"/>
  <c r="J49" i="19"/>
  <c r="J47" i="19"/>
  <c r="J45" i="19"/>
  <c r="J38" i="19" l="1"/>
  <c r="J36" i="19"/>
  <c r="J34" i="19"/>
  <c r="J32" i="19"/>
  <c r="J30" i="19"/>
  <c r="J28" i="19"/>
  <c r="J26" i="19"/>
  <c r="J24" i="19"/>
  <c r="J22" i="19"/>
  <c r="J20" i="19"/>
  <c r="J18" i="19"/>
  <c r="J17" i="19"/>
  <c r="J15" i="19"/>
  <c r="J12" i="19"/>
  <c r="J10" i="19"/>
  <c r="J8" i="19"/>
  <c r="J7" i="19"/>
  <c r="J120" i="19"/>
  <c r="J121" i="19"/>
  <c r="J149" i="19"/>
  <c r="J150" i="19"/>
  <c r="J148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32" i="19"/>
  <c r="J113" i="19"/>
  <c r="J114" i="19"/>
  <c r="J115" i="19"/>
  <c r="J116" i="19"/>
  <c r="J117" i="19"/>
  <c r="J118" i="19"/>
  <c r="J119" i="19"/>
  <c r="J122" i="19"/>
  <c r="J123" i="19"/>
  <c r="J124" i="19"/>
  <c r="J125" i="19"/>
  <c r="J126" i="19"/>
  <c r="J127" i="19"/>
  <c r="J128" i="19"/>
  <c r="J129" i="19"/>
  <c r="J130" i="19"/>
  <c r="J112" i="19"/>
  <c r="J102" i="19"/>
  <c r="J104" i="19"/>
  <c r="J106" i="19"/>
  <c r="J108" i="19"/>
  <c r="J110" i="19"/>
  <c r="J100" i="19"/>
  <c r="J87" i="19"/>
  <c r="J88" i="19"/>
  <c r="J91" i="19"/>
  <c r="J92" i="19"/>
  <c r="J93" i="19"/>
  <c r="J94" i="19"/>
  <c r="J95" i="19"/>
  <c r="J96" i="19"/>
  <c r="J97" i="19"/>
  <c r="J86" i="19"/>
  <c r="J84" i="19"/>
  <c r="J83" i="19"/>
  <c r="J77" i="19"/>
  <c r="J78" i="19"/>
  <c r="J79" i="19"/>
  <c r="J80" i="19"/>
  <c r="J81" i="19"/>
  <c r="J76" i="19"/>
  <c r="J69" i="19"/>
  <c r="J70" i="19"/>
  <c r="J71" i="19"/>
  <c r="J72" i="19"/>
  <c r="J73" i="19"/>
  <c r="J74" i="19"/>
  <c r="J68" i="19"/>
  <c r="J59" i="19"/>
  <c r="J61" i="19"/>
  <c r="J62" i="19"/>
  <c r="J64" i="19"/>
  <c r="J65" i="19"/>
  <c r="J66" i="19"/>
  <c r="J58" i="19"/>
  <c r="J9" i="19"/>
  <c r="J11" i="19"/>
  <c r="J13" i="19"/>
  <c r="J14" i="19"/>
  <c r="J16" i="19"/>
  <c r="J19" i="19"/>
  <c r="J21" i="19"/>
  <c r="J23" i="19"/>
  <c r="J25" i="19"/>
  <c r="J27" i="19"/>
  <c r="J29" i="19"/>
  <c r="J31" i="19"/>
  <c r="J33" i="19"/>
  <c r="J35" i="19"/>
  <c r="J37" i="19"/>
  <c r="J39" i="19"/>
  <c r="J40" i="19"/>
  <c r="J41" i="19"/>
  <c r="J42" i="19"/>
  <c r="J43" i="19"/>
  <c r="J44" i="19"/>
  <c r="J46" i="19"/>
  <c r="J48" i="19"/>
  <c r="J50" i="19"/>
  <c r="J52" i="19"/>
  <c r="J54" i="19"/>
  <c r="J55" i="19"/>
  <c r="J56" i="19"/>
  <c r="J6" i="19"/>
  <c r="J147" i="19" l="1"/>
  <c r="C147" i="19"/>
  <c r="J155" i="19" l="1"/>
  <c r="G145" i="1"/>
  <c r="E145" i="1"/>
  <c r="D145" i="1"/>
  <c r="C145" i="1"/>
  <c r="G144" i="1"/>
  <c r="E144" i="1"/>
  <c r="D144" i="1"/>
  <c r="C144" i="1"/>
  <c r="G143" i="1"/>
  <c r="E143" i="1"/>
  <c r="D143" i="1"/>
  <c r="C143" i="1"/>
  <c r="G142" i="1"/>
  <c r="A142" i="1"/>
  <c r="G141" i="1"/>
  <c r="D141" i="1"/>
  <c r="C141" i="1"/>
  <c r="G140" i="1"/>
  <c r="D140" i="1"/>
  <c r="C140" i="1"/>
  <c r="G139" i="1"/>
  <c r="D139" i="1"/>
  <c r="C139" i="1"/>
  <c r="G136" i="1"/>
  <c r="E136" i="1"/>
  <c r="D136" i="1"/>
  <c r="C136" i="1"/>
  <c r="E135" i="1"/>
  <c r="D135" i="1"/>
  <c r="C135" i="1"/>
  <c r="G134" i="1"/>
  <c r="A134" i="1"/>
  <c r="G129" i="1"/>
  <c r="E129" i="1"/>
  <c r="D129" i="1"/>
  <c r="C129" i="1"/>
  <c r="G128" i="1"/>
  <c r="E128" i="1"/>
  <c r="D128" i="1"/>
  <c r="C128" i="1"/>
  <c r="G127" i="1"/>
  <c r="E127" i="1"/>
  <c r="D127" i="1"/>
  <c r="C127" i="1"/>
  <c r="E125" i="1"/>
  <c r="D125" i="1"/>
  <c r="C125" i="1"/>
  <c r="G124" i="1"/>
  <c r="E124" i="1"/>
  <c r="D124" i="1"/>
  <c r="C124" i="1"/>
  <c r="G123" i="1"/>
  <c r="E123" i="1"/>
  <c r="D123" i="1"/>
  <c r="C123" i="1"/>
  <c r="G122" i="1"/>
  <c r="E122" i="1"/>
  <c r="D122" i="1"/>
  <c r="C122" i="1"/>
  <c r="G121" i="1"/>
  <c r="E121" i="1"/>
  <c r="D121" i="1"/>
  <c r="C121" i="1"/>
  <c r="G120" i="1"/>
  <c r="E120" i="1"/>
  <c r="D120" i="1"/>
  <c r="C120" i="1"/>
  <c r="G119" i="1"/>
  <c r="E119" i="1"/>
  <c r="D119" i="1"/>
  <c r="C119" i="1"/>
  <c r="E118" i="1"/>
  <c r="D118" i="1"/>
  <c r="C118" i="1"/>
  <c r="G117" i="1"/>
  <c r="E117" i="1"/>
  <c r="D117" i="1"/>
  <c r="C117" i="1"/>
  <c r="E116" i="1"/>
  <c r="D116" i="1"/>
  <c r="C116" i="1"/>
  <c r="G115" i="1"/>
  <c r="A115" i="1"/>
  <c r="G111" i="1"/>
  <c r="G110" i="1"/>
  <c r="G109" i="1"/>
  <c r="G108" i="1"/>
  <c r="G107" i="1"/>
  <c r="G106" i="1"/>
  <c r="G102" i="1"/>
  <c r="E102" i="1"/>
  <c r="D102" i="1"/>
  <c r="C102" i="1"/>
  <c r="G101" i="1"/>
  <c r="E101" i="1"/>
  <c r="D101" i="1"/>
  <c r="C101" i="1"/>
  <c r="G100" i="1"/>
  <c r="E100" i="1"/>
  <c r="D100" i="1"/>
  <c r="C100" i="1"/>
  <c r="G99" i="1"/>
  <c r="E99" i="1"/>
  <c r="D99" i="1"/>
  <c r="C99" i="1"/>
  <c r="E98" i="1"/>
  <c r="D98" i="1"/>
  <c r="C98" i="1"/>
  <c r="G97" i="1"/>
  <c r="E97" i="1"/>
  <c r="D97" i="1"/>
  <c r="C97" i="1"/>
  <c r="G96" i="1"/>
  <c r="E96" i="1"/>
  <c r="D96" i="1"/>
  <c r="C96" i="1"/>
  <c r="G95" i="1"/>
  <c r="E95" i="1"/>
  <c r="D95" i="1"/>
  <c r="C95" i="1"/>
  <c r="G94" i="1"/>
  <c r="E94" i="1"/>
  <c r="D94" i="1"/>
  <c r="C94" i="1"/>
  <c r="G93" i="1"/>
  <c r="E93" i="1"/>
  <c r="D93" i="1"/>
  <c r="C93" i="1"/>
  <c r="G92" i="1"/>
  <c r="A92" i="1"/>
  <c r="G90" i="1"/>
  <c r="E90" i="1"/>
  <c r="D90" i="1"/>
  <c r="C90" i="1"/>
  <c r="G89" i="1"/>
  <c r="E89" i="1"/>
  <c r="D89" i="1"/>
  <c r="C89" i="1"/>
  <c r="G88" i="1"/>
  <c r="E88" i="1"/>
  <c r="D88" i="1"/>
  <c r="C88" i="1"/>
  <c r="G87" i="1"/>
  <c r="E87" i="1"/>
  <c r="D87" i="1"/>
  <c r="C87" i="1"/>
  <c r="G86" i="1"/>
  <c r="A86" i="1"/>
  <c r="G85" i="1"/>
  <c r="E85" i="1"/>
  <c r="D85" i="1"/>
  <c r="C85" i="1"/>
  <c r="G84" i="1"/>
  <c r="E84" i="1"/>
  <c r="D84" i="1"/>
  <c r="C84" i="1"/>
  <c r="E83" i="1"/>
  <c r="D83" i="1"/>
  <c r="G82" i="1"/>
  <c r="E82" i="1"/>
  <c r="D82" i="1"/>
  <c r="C82" i="1"/>
  <c r="G81" i="1"/>
  <c r="E81" i="1"/>
  <c r="D81" i="1"/>
  <c r="C81" i="1"/>
  <c r="G80" i="1"/>
  <c r="E80" i="1"/>
  <c r="D80" i="1"/>
  <c r="C80" i="1"/>
  <c r="G79" i="1"/>
  <c r="A79" i="1"/>
  <c r="G78" i="1"/>
  <c r="E78" i="1"/>
  <c r="D78" i="1"/>
  <c r="C78" i="1"/>
  <c r="G77" i="1"/>
  <c r="E77" i="1"/>
  <c r="D77" i="1"/>
  <c r="C77" i="1"/>
  <c r="G76" i="1"/>
  <c r="E76" i="1"/>
  <c r="D76" i="1"/>
  <c r="C76" i="1"/>
  <c r="G75" i="1"/>
  <c r="E75" i="1"/>
  <c r="D75" i="1"/>
  <c r="C75" i="1"/>
  <c r="G74" i="1"/>
  <c r="E74" i="1"/>
  <c r="D74" i="1"/>
  <c r="C74" i="1"/>
  <c r="G73" i="1"/>
  <c r="E73" i="1"/>
  <c r="D73" i="1"/>
  <c r="C73" i="1"/>
  <c r="G72" i="1"/>
  <c r="E72" i="1"/>
  <c r="D72" i="1"/>
  <c r="C72" i="1"/>
  <c r="G71" i="1"/>
  <c r="A71" i="1"/>
  <c r="G70" i="1"/>
  <c r="E70" i="1"/>
  <c r="D70" i="1"/>
  <c r="C70" i="1"/>
  <c r="G69" i="1"/>
  <c r="E69" i="1"/>
  <c r="D69" i="1"/>
  <c r="C69" i="1"/>
  <c r="G66" i="1"/>
  <c r="E66" i="1"/>
  <c r="D66" i="1"/>
  <c r="C66" i="1"/>
  <c r="G65" i="1"/>
  <c r="E65" i="1"/>
  <c r="D65" i="1"/>
  <c r="C65" i="1"/>
  <c r="G64" i="1"/>
  <c r="E64" i="1"/>
  <c r="D64" i="1"/>
  <c r="C64" i="1"/>
  <c r="G63" i="1"/>
  <c r="E63" i="1"/>
  <c r="D63" i="1"/>
  <c r="C63" i="1"/>
  <c r="G62" i="1"/>
  <c r="E62" i="1"/>
  <c r="D62" i="1"/>
  <c r="C62" i="1"/>
  <c r="E61" i="1"/>
  <c r="D61" i="1"/>
  <c r="C61" i="1"/>
  <c r="G60" i="1"/>
  <c r="E60" i="1"/>
  <c r="D60" i="1"/>
  <c r="C60" i="1"/>
  <c r="G59" i="1"/>
  <c r="E59" i="1"/>
  <c r="D59" i="1"/>
  <c r="C59" i="1"/>
  <c r="G58" i="1"/>
  <c r="E58" i="1"/>
  <c r="D58" i="1"/>
  <c r="C58" i="1"/>
  <c r="G57" i="1"/>
  <c r="E57" i="1"/>
  <c r="D57" i="1"/>
  <c r="C57" i="1"/>
  <c r="G56" i="1"/>
  <c r="E56" i="1"/>
  <c r="D56" i="1"/>
  <c r="C56" i="1"/>
  <c r="G55" i="1"/>
  <c r="E55" i="1"/>
  <c r="D55" i="1"/>
  <c r="C55" i="1"/>
  <c r="E54" i="1"/>
  <c r="D54" i="1"/>
  <c r="C54" i="1"/>
  <c r="G53" i="1"/>
  <c r="E53" i="1"/>
  <c r="D53" i="1"/>
  <c r="C53" i="1"/>
  <c r="G52" i="1"/>
  <c r="E52" i="1"/>
  <c r="D52" i="1"/>
  <c r="C52" i="1"/>
  <c r="G51" i="1"/>
  <c r="E51" i="1"/>
  <c r="D51" i="1"/>
  <c r="C51" i="1"/>
  <c r="G50" i="1"/>
  <c r="E50" i="1"/>
  <c r="D50" i="1"/>
  <c r="C50" i="1"/>
  <c r="G49" i="1"/>
  <c r="E49" i="1"/>
  <c r="D49" i="1"/>
  <c r="C49" i="1"/>
  <c r="G48" i="1"/>
  <c r="E48" i="1"/>
  <c r="D48" i="1"/>
  <c r="C48" i="1"/>
  <c r="G47" i="1"/>
  <c r="E47" i="1"/>
  <c r="D47" i="1"/>
  <c r="C47" i="1"/>
  <c r="G46" i="1"/>
  <c r="D46" i="1"/>
  <c r="C46" i="1"/>
  <c r="G45" i="1"/>
  <c r="E45" i="1"/>
  <c r="D45" i="1"/>
  <c r="C45" i="1"/>
  <c r="G44" i="1"/>
  <c r="E44" i="1"/>
  <c r="D44" i="1"/>
  <c r="C44" i="1"/>
  <c r="G43" i="1"/>
  <c r="E43" i="1"/>
  <c r="D43" i="1"/>
  <c r="C43" i="1"/>
  <c r="G42" i="1"/>
  <c r="E42" i="1"/>
  <c r="D42" i="1"/>
  <c r="C42" i="1"/>
  <c r="G41" i="1"/>
  <c r="A41" i="1"/>
  <c r="E40" i="1"/>
  <c r="D40" i="1"/>
  <c r="C40" i="1"/>
  <c r="G39" i="1"/>
  <c r="E39" i="1"/>
  <c r="D39" i="1"/>
  <c r="C39" i="1"/>
  <c r="G38" i="1"/>
  <c r="E38" i="1"/>
  <c r="D38" i="1"/>
  <c r="C38" i="1"/>
  <c r="G37" i="1"/>
  <c r="E37" i="1"/>
  <c r="D37" i="1"/>
  <c r="C37" i="1"/>
  <c r="G36" i="1"/>
  <c r="E36" i="1"/>
  <c r="D36" i="1"/>
  <c r="C36" i="1"/>
  <c r="G35" i="1"/>
  <c r="E35" i="1"/>
  <c r="D35" i="1"/>
  <c r="C35" i="1"/>
  <c r="G34" i="1"/>
  <c r="E34" i="1"/>
  <c r="D34" i="1"/>
  <c r="C34" i="1"/>
  <c r="G33" i="1"/>
  <c r="E33" i="1"/>
  <c r="D33" i="1"/>
  <c r="C33" i="1"/>
  <c r="G32" i="1"/>
  <c r="E32" i="1"/>
  <c r="D32" i="1"/>
  <c r="C32" i="1"/>
  <c r="G31" i="1"/>
  <c r="E31" i="1"/>
  <c r="D31" i="1"/>
  <c r="C31" i="1"/>
  <c r="G30" i="1"/>
  <c r="E30" i="1"/>
  <c r="D30" i="1"/>
  <c r="C30" i="1"/>
  <c r="G29" i="1"/>
  <c r="E29" i="1"/>
  <c r="D29" i="1"/>
  <c r="C29" i="1"/>
  <c r="G28" i="1"/>
  <c r="E28" i="1"/>
  <c r="D28" i="1"/>
  <c r="C28" i="1"/>
  <c r="G27" i="1"/>
  <c r="E27" i="1"/>
  <c r="D27" i="1"/>
  <c r="C27" i="1"/>
  <c r="G26" i="1"/>
  <c r="E26" i="1"/>
  <c r="D26" i="1"/>
  <c r="C26" i="1"/>
  <c r="G25" i="1"/>
  <c r="E25" i="1"/>
  <c r="D25" i="1"/>
  <c r="C25" i="1"/>
  <c r="G24" i="1"/>
  <c r="E24" i="1"/>
  <c r="D24" i="1"/>
  <c r="C24" i="1"/>
  <c r="G23" i="1"/>
  <c r="E23" i="1"/>
  <c r="D23" i="1"/>
  <c r="C23" i="1"/>
  <c r="G22" i="1"/>
  <c r="E22" i="1"/>
  <c r="D22" i="1"/>
  <c r="C22" i="1"/>
  <c r="G21" i="1"/>
  <c r="E21" i="1"/>
  <c r="D21" i="1"/>
  <c r="C21" i="1"/>
  <c r="G20" i="1"/>
  <c r="E20" i="1"/>
  <c r="D20" i="1"/>
  <c r="C20" i="1"/>
  <c r="G19" i="1"/>
  <c r="E19" i="1"/>
  <c r="D19" i="1"/>
  <c r="C19" i="1"/>
  <c r="G18" i="1"/>
  <c r="E18" i="1"/>
  <c r="D18" i="1"/>
  <c r="C18" i="1"/>
  <c r="G17" i="1"/>
  <c r="E17" i="1"/>
  <c r="D17" i="1"/>
  <c r="C17" i="1"/>
  <c r="G16" i="1"/>
  <c r="E16" i="1"/>
  <c r="D16" i="1"/>
  <c r="C16" i="1"/>
  <c r="G15" i="1"/>
  <c r="E15" i="1"/>
  <c r="D15" i="1"/>
  <c r="C15" i="1"/>
  <c r="G14" i="1"/>
  <c r="E14" i="1"/>
  <c r="D14" i="1"/>
  <c r="C14" i="1"/>
  <c r="G13" i="1"/>
  <c r="E13" i="1"/>
  <c r="D13" i="1"/>
  <c r="C13" i="1"/>
  <c r="G12" i="1"/>
  <c r="E12" i="1"/>
  <c r="D12" i="1"/>
  <c r="C12" i="1"/>
  <c r="G11" i="1"/>
  <c r="E11" i="1"/>
  <c r="D11" i="1"/>
  <c r="C11" i="1"/>
  <c r="G10" i="1"/>
  <c r="E10" i="1"/>
  <c r="D10" i="1"/>
  <c r="C10" i="1"/>
  <c r="G9" i="1"/>
  <c r="E9" i="1"/>
  <c r="D9" i="1"/>
  <c r="C9" i="1"/>
  <c r="G8" i="1"/>
  <c r="E8" i="1"/>
  <c r="D8" i="1"/>
  <c r="C8" i="1"/>
  <c r="G7" i="1"/>
  <c r="E7" i="1"/>
  <c r="D7" i="1"/>
  <c r="C7" i="1"/>
  <c r="G6" i="1"/>
  <c r="E6" i="1"/>
  <c r="D6" i="1"/>
  <c r="C6" i="1"/>
  <c r="D139" i="3" l="1"/>
  <c r="D132" i="3"/>
  <c r="D131" i="3"/>
  <c r="D129" i="3"/>
  <c r="E129" i="3" s="1"/>
  <c r="F129" i="3" s="1"/>
  <c r="G129" i="3" s="1"/>
  <c r="H129" i="3" s="1"/>
  <c r="D125" i="3"/>
  <c r="E125" i="3" s="1"/>
  <c r="F125" i="3" s="1"/>
  <c r="G125" i="3" s="1"/>
  <c r="H125" i="3" s="1"/>
  <c r="D124" i="3"/>
  <c r="E124" i="3" s="1"/>
  <c r="F124" i="3" s="1"/>
  <c r="G124" i="3" s="1"/>
  <c r="H124" i="3" s="1"/>
  <c r="D122" i="3"/>
  <c r="E122" i="3" s="1"/>
  <c r="F122" i="3" s="1"/>
  <c r="G122" i="3" s="1"/>
  <c r="H122" i="3" s="1"/>
  <c r="D121" i="3"/>
  <c r="E121" i="3" s="1"/>
  <c r="F121" i="3" s="1"/>
  <c r="G121" i="3" s="1"/>
  <c r="H121" i="3" s="1"/>
  <c r="D120" i="3"/>
  <c r="E120" i="3" s="1"/>
  <c r="F120" i="3" s="1"/>
  <c r="G120" i="3" s="1"/>
  <c r="H120" i="3" s="1"/>
  <c r="D119" i="3"/>
  <c r="E119" i="3" s="1"/>
  <c r="F119" i="3" s="1"/>
  <c r="G119" i="3" s="1"/>
  <c r="H119" i="3" s="1"/>
  <c r="D118" i="3"/>
  <c r="E118" i="3" s="1"/>
  <c r="F118" i="3" s="1"/>
  <c r="G118" i="3" s="1"/>
  <c r="H118" i="3" s="1"/>
  <c r="D117" i="3"/>
  <c r="E117" i="3" s="1"/>
  <c r="F117" i="3" s="1"/>
  <c r="G117" i="3" s="1"/>
  <c r="H117" i="3" s="1"/>
  <c r="D116" i="3"/>
  <c r="E116" i="3" s="1"/>
  <c r="F116" i="3" s="1"/>
  <c r="G116" i="3" s="1"/>
  <c r="H116" i="3" s="1"/>
  <c r="D115" i="3"/>
  <c r="E115" i="3" s="1"/>
  <c r="F115" i="3" s="1"/>
  <c r="G115" i="3" s="1"/>
  <c r="H115" i="3" s="1"/>
  <c r="D114" i="3"/>
  <c r="E114" i="3" s="1"/>
  <c r="F114" i="3" s="1"/>
  <c r="G114" i="3" s="1"/>
  <c r="H114" i="3" s="1"/>
  <c r="D113" i="3"/>
  <c r="E113" i="3" s="1"/>
  <c r="F113" i="3" s="1"/>
  <c r="G113" i="3" s="1"/>
  <c r="H113" i="3" s="1"/>
  <c r="D102" i="3"/>
  <c r="E102" i="3" s="1"/>
  <c r="F102" i="3" s="1"/>
  <c r="G102" i="3" s="1"/>
  <c r="H102" i="3" s="1"/>
  <c r="D101" i="3"/>
  <c r="E101" i="3" s="1"/>
  <c r="F101" i="3" s="1"/>
  <c r="G101" i="3" s="1"/>
  <c r="H101" i="3" s="1"/>
  <c r="D100" i="3"/>
  <c r="E100" i="3" s="1"/>
  <c r="F100" i="3" s="1"/>
  <c r="G100" i="3" s="1"/>
  <c r="H100" i="3" s="1"/>
  <c r="D99" i="3"/>
  <c r="E99" i="3" s="1"/>
  <c r="F99" i="3" s="1"/>
  <c r="G99" i="3" s="1"/>
  <c r="H99" i="3" s="1"/>
  <c r="D98" i="3"/>
  <c r="E98" i="3" s="1"/>
  <c r="F98" i="3" s="1"/>
  <c r="G98" i="3" s="1"/>
  <c r="H98" i="3" s="1"/>
  <c r="D97" i="3"/>
  <c r="E97" i="3" s="1"/>
  <c r="F97" i="3" s="1"/>
  <c r="G97" i="3" s="1"/>
  <c r="H97" i="3" s="1"/>
  <c r="D96" i="3"/>
  <c r="E96" i="3" s="1"/>
  <c r="F96" i="3" s="1"/>
  <c r="G96" i="3" s="1"/>
  <c r="H96" i="3" s="1"/>
  <c r="D95" i="3"/>
  <c r="E95" i="3" s="1"/>
  <c r="F95" i="3" s="1"/>
  <c r="G95" i="3" s="1"/>
  <c r="H95" i="3" s="1"/>
  <c r="D94" i="3"/>
  <c r="E94" i="3" s="1"/>
  <c r="F94" i="3" s="1"/>
  <c r="G94" i="3" s="1"/>
  <c r="H94" i="3" s="1"/>
  <c r="D93" i="3"/>
  <c r="E93" i="3" s="1"/>
  <c r="F93" i="3" s="1"/>
  <c r="G93" i="3" s="1"/>
  <c r="H93" i="3" s="1"/>
  <c r="D90" i="3"/>
  <c r="E90" i="3" s="1"/>
  <c r="F90" i="3" s="1"/>
  <c r="G90" i="3" s="1"/>
  <c r="H90" i="3" s="1"/>
  <c r="D89" i="3"/>
  <c r="E89" i="3" s="1"/>
  <c r="F89" i="3" s="1"/>
  <c r="G89" i="3" s="1"/>
  <c r="H89" i="3" s="1"/>
  <c r="D88" i="3"/>
  <c r="E88" i="3" s="1"/>
  <c r="F88" i="3" s="1"/>
  <c r="G88" i="3" s="1"/>
  <c r="H88" i="3" s="1"/>
  <c r="D87" i="3"/>
  <c r="E87" i="3" s="1"/>
  <c r="F87" i="3" s="1"/>
  <c r="G87" i="3" s="1"/>
  <c r="H87" i="3" s="1"/>
  <c r="D85" i="3"/>
  <c r="E85" i="3" s="1"/>
  <c r="F85" i="3" s="1"/>
  <c r="G85" i="3" s="1"/>
  <c r="H85" i="3" s="1"/>
  <c r="D84" i="3"/>
  <c r="E84" i="3" s="1"/>
  <c r="F84" i="3" s="1"/>
  <c r="G84" i="3" s="1"/>
  <c r="H84" i="3" s="1"/>
  <c r="D82" i="3"/>
  <c r="E82" i="3" s="1"/>
  <c r="F82" i="3" s="1"/>
  <c r="G82" i="3" s="1"/>
  <c r="H82" i="3" s="1"/>
  <c r="D81" i="3"/>
  <c r="E81" i="3" s="1"/>
  <c r="F81" i="3" s="1"/>
  <c r="G81" i="3" s="1"/>
  <c r="H81" i="3" s="1"/>
  <c r="D80" i="3"/>
  <c r="E80" i="3" s="1"/>
  <c r="F80" i="3" s="1"/>
  <c r="G80" i="3" s="1"/>
  <c r="H80" i="3" s="1"/>
  <c r="D78" i="3"/>
  <c r="E78" i="3" s="1"/>
  <c r="F78" i="3" s="1"/>
  <c r="G78" i="3" s="1"/>
  <c r="H78" i="3" s="1"/>
  <c r="D77" i="3"/>
  <c r="E77" i="3" s="1"/>
  <c r="F77" i="3" s="1"/>
  <c r="G77" i="3" s="1"/>
  <c r="H77" i="3" s="1"/>
  <c r="D76" i="3"/>
  <c r="E76" i="3" s="1"/>
  <c r="F76" i="3" s="1"/>
  <c r="G76" i="3" s="1"/>
  <c r="H76" i="3" s="1"/>
  <c r="D75" i="3"/>
  <c r="E75" i="3" s="1"/>
  <c r="F75" i="3" s="1"/>
  <c r="G75" i="3" s="1"/>
  <c r="H75" i="3" s="1"/>
  <c r="D74" i="3"/>
  <c r="E74" i="3" s="1"/>
  <c r="F74" i="3" s="1"/>
  <c r="G74" i="3" s="1"/>
  <c r="H74" i="3" s="1"/>
  <c r="D73" i="3"/>
  <c r="E73" i="3" s="1"/>
  <c r="F73" i="3" s="1"/>
  <c r="G73" i="3" s="1"/>
  <c r="H73" i="3" s="1"/>
  <c r="D72" i="3"/>
  <c r="E72" i="3" s="1"/>
  <c r="F72" i="3" s="1"/>
  <c r="G72" i="3" s="1"/>
  <c r="H72" i="3" s="1"/>
  <c r="D70" i="3"/>
  <c r="E70" i="3" s="1"/>
  <c r="F70" i="3" s="1"/>
  <c r="G70" i="3" s="1"/>
  <c r="H70" i="3" s="1"/>
  <c r="D69" i="3"/>
  <c r="E69" i="3" s="1"/>
  <c r="F69" i="3" s="1"/>
  <c r="G69" i="3" s="1"/>
  <c r="H69" i="3" s="1"/>
  <c r="D66" i="3"/>
  <c r="E66" i="3" s="1"/>
  <c r="F66" i="3" s="1"/>
  <c r="G66" i="3" s="1"/>
  <c r="H66" i="3" s="1"/>
  <c r="D65" i="3"/>
  <c r="E65" i="3" s="1"/>
  <c r="F65" i="3" s="1"/>
  <c r="G65" i="3" s="1"/>
  <c r="H65" i="3" s="1"/>
  <c r="D64" i="3"/>
  <c r="E64" i="3" s="1"/>
  <c r="F64" i="3" s="1"/>
  <c r="G64" i="3" s="1"/>
  <c r="H64" i="3" s="1"/>
  <c r="D63" i="3"/>
  <c r="E63" i="3" s="1"/>
  <c r="F63" i="3" s="1"/>
  <c r="G63" i="3" s="1"/>
  <c r="H63" i="3" s="1"/>
  <c r="D62" i="3"/>
  <c r="E62" i="3" s="1"/>
  <c r="F62" i="3" s="1"/>
  <c r="G62" i="3" s="1"/>
  <c r="H62" i="3" s="1"/>
  <c r="D61" i="3"/>
  <c r="E61" i="3" s="1"/>
  <c r="F61" i="3" s="1"/>
  <c r="G61" i="3" s="1"/>
  <c r="H61" i="3" s="1"/>
  <c r="D60" i="3"/>
  <c r="E60" i="3" s="1"/>
  <c r="F60" i="3" s="1"/>
  <c r="G60" i="3" s="1"/>
  <c r="H60" i="3" s="1"/>
  <c r="D59" i="3"/>
  <c r="E59" i="3" s="1"/>
  <c r="F59" i="3" s="1"/>
  <c r="G59" i="3" s="1"/>
  <c r="H59" i="3" s="1"/>
  <c r="D58" i="3"/>
  <c r="E58" i="3" s="1"/>
  <c r="F58" i="3" s="1"/>
  <c r="G58" i="3" s="1"/>
  <c r="H58" i="3" s="1"/>
  <c r="D57" i="3"/>
  <c r="E57" i="3" s="1"/>
  <c r="F57" i="3" s="1"/>
  <c r="G57" i="3" s="1"/>
  <c r="H57" i="3" s="1"/>
  <c r="D56" i="3"/>
  <c r="E56" i="3" s="1"/>
  <c r="F56" i="3" s="1"/>
  <c r="G56" i="3" s="1"/>
  <c r="H56" i="3" s="1"/>
  <c r="D55" i="3"/>
  <c r="E55" i="3" s="1"/>
  <c r="F55" i="3" s="1"/>
  <c r="G55" i="3" s="1"/>
  <c r="H55" i="3" s="1"/>
  <c r="D54" i="3"/>
  <c r="E54" i="3" s="1"/>
  <c r="F54" i="3" s="1"/>
  <c r="G54" i="3" s="1"/>
  <c r="H54" i="3" s="1"/>
  <c r="D53" i="3"/>
  <c r="E53" i="3" s="1"/>
  <c r="F53" i="3" s="1"/>
  <c r="G53" i="3" s="1"/>
  <c r="H53" i="3" s="1"/>
  <c r="D52" i="3"/>
  <c r="E52" i="3" s="1"/>
  <c r="F52" i="3" s="1"/>
  <c r="G52" i="3" s="1"/>
  <c r="H52" i="3" s="1"/>
  <c r="D51" i="3"/>
  <c r="E51" i="3" s="1"/>
  <c r="F51" i="3" s="1"/>
  <c r="G51" i="3" s="1"/>
  <c r="H51" i="3" s="1"/>
  <c r="D50" i="3"/>
  <c r="E50" i="3" s="1"/>
  <c r="F50" i="3" s="1"/>
  <c r="G50" i="3" s="1"/>
  <c r="H50" i="3" s="1"/>
  <c r="D49" i="3"/>
  <c r="E49" i="3" s="1"/>
  <c r="F49" i="3" s="1"/>
  <c r="G49" i="3" s="1"/>
  <c r="H49" i="3" s="1"/>
  <c r="D48" i="3"/>
  <c r="E48" i="3" s="1"/>
  <c r="F48" i="3" s="1"/>
  <c r="G48" i="3" s="1"/>
  <c r="H48" i="3" s="1"/>
  <c r="D47" i="3"/>
  <c r="E47" i="3" s="1"/>
  <c r="F47" i="3" s="1"/>
  <c r="G47" i="3" s="1"/>
  <c r="H47" i="3" s="1"/>
  <c r="D46" i="3"/>
  <c r="E46" i="3" s="1"/>
  <c r="F46" i="3" s="1"/>
  <c r="G46" i="3" s="1"/>
  <c r="H46" i="3" s="1"/>
  <c r="D45" i="3"/>
  <c r="E45" i="3" s="1"/>
  <c r="F45" i="3" s="1"/>
  <c r="G45" i="3" s="1"/>
  <c r="H45" i="3" s="1"/>
  <c r="D44" i="3"/>
  <c r="E44" i="3" s="1"/>
  <c r="F44" i="3" s="1"/>
  <c r="G44" i="3" s="1"/>
  <c r="H44" i="3" s="1"/>
  <c r="D43" i="3"/>
  <c r="E43" i="3" s="1"/>
  <c r="F43" i="3" s="1"/>
  <c r="G43" i="3" s="1"/>
  <c r="H43" i="3" s="1"/>
  <c r="D42" i="3"/>
  <c r="E42" i="3" s="1"/>
  <c r="F42" i="3" s="1"/>
  <c r="G42" i="3" s="1"/>
  <c r="H42" i="3" s="1"/>
  <c r="D40" i="3"/>
  <c r="E40" i="3" s="1"/>
  <c r="F40" i="3" s="1"/>
  <c r="G40" i="3" s="1"/>
  <c r="H40" i="3" s="1"/>
  <c r="D39" i="3"/>
  <c r="E39" i="3" s="1"/>
  <c r="F39" i="3" s="1"/>
  <c r="G39" i="3" s="1"/>
  <c r="H39" i="3" s="1"/>
  <c r="D38" i="3"/>
  <c r="E38" i="3" s="1"/>
  <c r="F38" i="3" s="1"/>
  <c r="G38" i="3" s="1"/>
  <c r="H38" i="3" s="1"/>
  <c r="D37" i="3"/>
  <c r="E37" i="3" s="1"/>
  <c r="F37" i="3" s="1"/>
  <c r="G37" i="3" s="1"/>
  <c r="H37" i="3" s="1"/>
  <c r="D36" i="3"/>
  <c r="E36" i="3" s="1"/>
  <c r="F36" i="3" s="1"/>
  <c r="G36" i="3" s="1"/>
  <c r="H36" i="3" s="1"/>
  <c r="D35" i="3"/>
  <c r="E35" i="3" s="1"/>
  <c r="F35" i="3" s="1"/>
  <c r="G35" i="3" s="1"/>
  <c r="H35" i="3" s="1"/>
  <c r="D34" i="3"/>
  <c r="E34" i="3" s="1"/>
  <c r="F34" i="3" s="1"/>
  <c r="G34" i="3" s="1"/>
  <c r="H34" i="3" s="1"/>
  <c r="D33" i="3"/>
  <c r="E33" i="3" s="1"/>
  <c r="F33" i="3" s="1"/>
  <c r="G33" i="3" s="1"/>
  <c r="H33" i="3" s="1"/>
  <c r="D32" i="3"/>
  <c r="E32" i="3" s="1"/>
  <c r="F32" i="3" s="1"/>
  <c r="G32" i="3" s="1"/>
  <c r="H32" i="3" s="1"/>
  <c r="D31" i="3"/>
  <c r="E31" i="3" s="1"/>
  <c r="F31" i="3" s="1"/>
  <c r="G31" i="3" s="1"/>
  <c r="H31" i="3" s="1"/>
  <c r="D30" i="3"/>
  <c r="E30" i="3" s="1"/>
  <c r="F30" i="3" s="1"/>
  <c r="G30" i="3" s="1"/>
  <c r="H30" i="3" s="1"/>
  <c r="D29" i="3"/>
  <c r="E29" i="3" s="1"/>
  <c r="F29" i="3" s="1"/>
  <c r="G29" i="3" s="1"/>
  <c r="H29" i="3" s="1"/>
  <c r="D28" i="3"/>
  <c r="E28" i="3" s="1"/>
  <c r="F28" i="3" s="1"/>
  <c r="G28" i="3" s="1"/>
  <c r="H28" i="3" s="1"/>
  <c r="D27" i="3"/>
  <c r="E27" i="3" s="1"/>
  <c r="F27" i="3" s="1"/>
  <c r="G27" i="3" s="1"/>
  <c r="H27" i="3" s="1"/>
  <c r="D26" i="3"/>
  <c r="E26" i="3" s="1"/>
  <c r="F26" i="3" s="1"/>
  <c r="G26" i="3" s="1"/>
  <c r="H26" i="3" s="1"/>
  <c r="D25" i="3"/>
  <c r="E25" i="3" s="1"/>
  <c r="F25" i="3" s="1"/>
  <c r="G25" i="3" s="1"/>
  <c r="H25" i="3" s="1"/>
  <c r="D24" i="3"/>
  <c r="E24" i="3" s="1"/>
  <c r="F24" i="3" s="1"/>
  <c r="G24" i="3" s="1"/>
  <c r="H24" i="3" s="1"/>
  <c r="D23" i="3"/>
  <c r="E23" i="3" s="1"/>
  <c r="F23" i="3" s="1"/>
  <c r="G23" i="3" s="1"/>
  <c r="H23" i="3" s="1"/>
  <c r="D22" i="3"/>
  <c r="E22" i="3" s="1"/>
  <c r="F22" i="3" s="1"/>
  <c r="G22" i="3" s="1"/>
  <c r="H22" i="3" s="1"/>
  <c r="D21" i="3"/>
  <c r="E21" i="3" s="1"/>
  <c r="F21" i="3" s="1"/>
  <c r="G21" i="3" s="1"/>
  <c r="H21" i="3" s="1"/>
  <c r="D20" i="3"/>
  <c r="E20" i="3" s="1"/>
  <c r="F20" i="3" s="1"/>
  <c r="G20" i="3" s="1"/>
  <c r="H20" i="3" s="1"/>
  <c r="D19" i="3"/>
  <c r="E19" i="3" s="1"/>
  <c r="F19" i="3" s="1"/>
  <c r="G19" i="3" s="1"/>
  <c r="H19" i="3" s="1"/>
  <c r="D18" i="3"/>
  <c r="E18" i="3" s="1"/>
  <c r="F18" i="3" s="1"/>
  <c r="G18" i="3" s="1"/>
  <c r="H18" i="3" s="1"/>
  <c r="D17" i="3"/>
  <c r="E17" i="3" s="1"/>
  <c r="F17" i="3" s="1"/>
  <c r="G17" i="3" s="1"/>
  <c r="H17" i="3" s="1"/>
  <c r="D16" i="3"/>
  <c r="E16" i="3" s="1"/>
  <c r="F16" i="3" s="1"/>
  <c r="G16" i="3" s="1"/>
  <c r="H16" i="3" s="1"/>
  <c r="D15" i="3"/>
  <c r="E15" i="3" s="1"/>
  <c r="F15" i="3" s="1"/>
  <c r="G15" i="3" s="1"/>
  <c r="H15" i="3" s="1"/>
  <c r="D14" i="3"/>
  <c r="E14" i="3" s="1"/>
  <c r="F14" i="3" s="1"/>
  <c r="G14" i="3" s="1"/>
  <c r="H14" i="3" s="1"/>
  <c r="D13" i="3"/>
  <c r="E13" i="3" s="1"/>
  <c r="F13" i="3" s="1"/>
  <c r="G13" i="3" s="1"/>
  <c r="H13" i="3" s="1"/>
  <c r="D12" i="3"/>
  <c r="E12" i="3" s="1"/>
  <c r="F12" i="3" s="1"/>
  <c r="G12" i="3" s="1"/>
  <c r="H12" i="3" s="1"/>
  <c r="D11" i="3"/>
  <c r="E11" i="3" s="1"/>
  <c r="F11" i="3" s="1"/>
  <c r="G11" i="3" s="1"/>
  <c r="H11" i="3" s="1"/>
  <c r="D10" i="3"/>
  <c r="E10" i="3" s="1"/>
  <c r="F10" i="3" s="1"/>
  <c r="G10" i="3" s="1"/>
  <c r="H10" i="3" s="1"/>
  <c r="D9" i="3"/>
  <c r="E9" i="3" s="1"/>
  <c r="F9" i="3" s="1"/>
  <c r="G9" i="3" s="1"/>
  <c r="H9" i="3" s="1"/>
  <c r="D8" i="3"/>
  <c r="E8" i="3" s="1"/>
  <c r="F8" i="3" s="1"/>
  <c r="G8" i="3" s="1"/>
  <c r="H8" i="3" s="1"/>
  <c r="D7" i="3"/>
  <c r="E7" i="3" s="1"/>
  <c r="F7" i="3" s="1"/>
  <c r="G7" i="3" s="1"/>
  <c r="H7" i="3" s="1"/>
  <c r="D6" i="3"/>
  <c r="E6" i="3" s="1"/>
  <c r="F6" i="3" s="1"/>
  <c r="G6" i="3" s="1"/>
  <c r="H6" i="3" s="1"/>
  <c r="F139" i="1" l="1"/>
  <c r="F127" i="1" l="1"/>
  <c r="J127" i="1" s="1"/>
  <c r="F121" i="1"/>
  <c r="J121" i="1" s="1"/>
  <c r="F95" i="1"/>
  <c r="J95" i="1" s="1"/>
  <c r="F64" i="1"/>
  <c r="J64" i="1" s="1"/>
  <c r="F54" i="1"/>
  <c r="J54" i="1" s="1"/>
  <c r="F57" i="1"/>
  <c r="J57" i="1" s="1"/>
  <c r="F52" i="1"/>
  <c r="J52" i="1" s="1"/>
  <c r="F62" i="1"/>
  <c r="J62" i="1" s="1"/>
  <c r="F55" i="1"/>
  <c r="J55" i="1" s="1"/>
  <c r="F63" i="1"/>
  <c r="J63" i="1" s="1"/>
  <c r="F56" i="1"/>
  <c r="J56" i="1" s="1"/>
  <c r="F65" i="1"/>
  <c r="J65" i="1" s="1"/>
  <c r="F58" i="1"/>
  <c r="J58" i="1" s="1"/>
  <c r="F66" i="1"/>
  <c r="J66" i="1" s="1"/>
  <c r="F51" i="1"/>
  <c r="J51" i="1" s="1"/>
  <c r="F59" i="1"/>
  <c r="J59" i="1" s="1"/>
  <c r="F69" i="1"/>
  <c r="J69" i="1" s="1"/>
  <c r="F60" i="1"/>
  <c r="J60" i="1" s="1"/>
  <c r="F70" i="1"/>
  <c r="J70" i="1" s="1"/>
  <c r="F53" i="1"/>
  <c r="J53" i="1" s="1"/>
  <c r="F61" i="1"/>
  <c r="J61" i="1" s="1"/>
  <c r="F141" i="1" l="1"/>
  <c r="F101" i="1" l="1"/>
  <c r="J101" i="1" s="1"/>
  <c r="F100" i="1"/>
  <c r="J100" i="1" s="1"/>
  <c r="F145" i="1" l="1"/>
  <c r="J145" i="1" s="1"/>
  <c r="F144" i="1"/>
  <c r="F143" i="1"/>
  <c r="F136" i="1"/>
  <c r="J136" i="1" s="1"/>
  <c r="F135" i="1"/>
  <c r="J135" i="1" s="1"/>
  <c r="F124" i="1"/>
  <c r="J124" i="1" s="1"/>
  <c r="F118" i="1"/>
  <c r="J118" i="1" s="1"/>
  <c r="F129" i="1"/>
  <c r="J129" i="1" s="1"/>
  <c r="F125" i="1"/>
  <c r="J125" i="1" s="1"/>
  <c r="F128" i="1"/>
  <c r="J128" i="1" s="1"/>
  <c r="F123" i="1"/>
  <c r="J123" i="1" s="1"/>
  <c r="F120" i="1"/>
  <c r="J120" i="1" s="1"/>
  <c r="F117" i="1"/>
  <c r="J117" i="1" s="1"/>
  <c r="F116" i="1"/>
  <c r="J116" i="1" s="1"/>
  <c r="F97" i="1"/>
  <c r="J97" i="1" s="1"/>
  <c r="F93" i="1"/>
  <c r="J93" i="1" s="1"/>
  <c r="F96" i="1"/>
  <c r="J96" i="1" s="1"/>
  <c r="F94" i="1"/>
  <c r="J94" i="1" s="1"/>
  <c r="F99" i="1"/>
  <c r="J99" i="1" s="1"/>
  <c r="F98" i="1"/>
  <c r="J98" i="1" s="1"/>
  <c r="F89" i="1"/>
  <c r="J89" i="1" s="1"/>
  <c r="F88" i="1"/>
  <c r="J88" i="1" s="1"/>
  <c r="F87" i="1"/>
  <c r="J87" i="1" s="1"/>
  <c r="F80" i="1"/>
  <c r="J80" i="1" s="1"/>
  <c r="F85" i="1"/>
  <c r="J85" i="1" s="1"/>
  <c r="F82" i="1"/>
  <c r="J82" i="1" s="1"/>
  <c r="F81" i="1"/>
  <c r="J81" i="1" s="1"/>
  <c r="F78" i="1"/>
  <c r="J78" i="1" s="1"/>
  <c r="F76" i="1"/>
  <c r="J76" i="1" s="1"/>
  <c r="F75" i="1"/>
  <c r="J75" i="1" s="1"/>
  <c r="F74" i="1"/>
  <c r="J74" i="1" s="1"/>
  <c r="F73" i="1"/>
  <c r="J73" i="1" s="1"/>
  <c r="F72" i="1"/>
  <c r="J72" i="1" s="1"/>
  <c r="F49" i="1"/>
  <c r="J49" i="1" s="1"/>
  <c r="F48" i="1"/>
  <c r="J48" i="1" s="1"/>
  <c r="F46" i="1"/>
  <c r="J46" i="1" s="1"/>
  <c r="F44" i="1"/>
  <c r="J44" i="1" s="1"/>
  <c r="F43" i="1"/>
  <c r="J43" i="1" s="1"/>
  <c r="F45" i="1"/>
  <c r="J45" i="1" s="1"/>
  <c r="F50" i="1"/>
  <c r="J50" i="1" s="1"/>
  <c r="F27" i="1"/>
  <c r="J27" i="1" s="1"/>
  <c r="F38" i="1"/>
  <c r="J38" i="1" s="1"/>
  <c r="F26" i="1"/>
  <c r="J26" i="1" s="1"/>
  <c r="F13" i="1"/>
  <c r="J13" i="1" s="1"/>
  <c r="F34" i="1"/>
  <c r="J34" i="1" s="1"/>
  <c r="F9" i="1"/>
  <c r="J9" i="1" s="1"/>
  <c r="F15" i="1"/>
  <c r="J15" i="1" s="1"/>
  <c r="F14" i="1"/>
  <c r="J14" i="1" s="1"/>
  <c r="F25" i="1"/>
  <c r="J25" i="1" s="1"/>
  <c r="F22" i="1"/>
  <c r="J22" i="1" s="1"/>
  <c r="F10" i="1"/>
  <c r="J10" i="1" s="1"/>
  <c r="F12" i="1"/>
  <c r="J12" i="1" s="1"/>
  <c r="F33" i="1"/>
  <c r="J33" i="1" s="1"/>
  <c r="F21" i="1"/>
  <c r="J21" i="1" s="1"/>
  <c r="F32" i="1"/>
  <c r="J32" i="1" s="1"/>
  <c r="F20" i="1"/>
  <c r="J20" i="1" s="1"/>
  <c r="F8" i="1"/>
  <c r="J8" i="1" s="1"/>
  <c r="F31" i="1"/>
  <c r="J31" i="1" s="1"/>
  <c r="F19" i="1"/>
  <c r="J19" i="1" s="1"/>
  <c r="F7" i="1"/>
  <c r="F40" i="1"/>
  <c r="J40" i="1" s="1"/>
  <c r="F28" i="1"/>
  <c r="J28" i="1" s="1"/>
  <c r="F16" i="1"/>
  <c r="J16" i="1" s="1"/>
  <c r="F6" i="1"/>
  <c r="J6" i="1" s="1"/>
  <c r="F39" i="1"/>
  <c r="J39" i="1" s="1"/>
  <c r="B177" i="1"/>
  <c r="F119" i="1" l="1"/>
  <c r="J119" i="1" s="1"/>
  <c r="F122" i="1"/>
  <c r="J122" i="1" s="1"/>
  <c r="F90" i="1"/>
  <c r="J90" i="1" s="1"/>
  <c r="F84" i="1"/>
  <c r="J84" i="1" s="1"/>
  <c r="F83" i="1"/>
  <c r="F77" i="1"/>
  <c r="J77" i="1" s="1"/>
  <c r="F47" i="1"/>
  <c r="J47" i="1" s="1"/>
  <c r="F11" i="1"/>
  <c r="J11" i="1" s="1"/>
  <c r="F36" i="1"/>
  <c r="J36" i="1" s="1"/>
  <c r="F23" i="1"/>
  <c r="J23" i="1" s="1"/>
  <c r="F17" i="1"/>
  <c r="J17" i="1" s="1"/>
  <c r="F29" i="1"/>
  <c r="J29" i="1" s="1"/>
  <c r="F35" i="1"/>
  <c r="J35" i="1" s="1"/>
  <c r="F18" i="1"/>
  <c r="J18" i="1" s="1"/>
  <c r="F24" i="1"/>
  <c r="J24" i="1" s="1"/>
  <c r="J7" i="1"/>
  <c r="F37" i="1"/>
  <c r="J37" i="1" s="1"/>
  <c r="F30" i="1"/>
  <c r="J30" i="1" s="1"/>
  <c r="B178" i="1" l="1"/>
  <c r="F42" i="1" l="1"/>
  <c r="F138" i="1" s="1"/>
  <c r="J42" i="1" l="1"/>
  <c r="F140" i="1"/>
  <c r="F146" i="1" s="1"/>
  <c r="F102" i="1"/>
  <c r="J102" i="1" s="1"/>
</calcChain>
</file>

<file path=xl/sharedStrings.xml><?xml version="1.0" encoding="utf-8"?>
<sst xmlns="http://schemas.openxmlformats.org/spreadsheetml/2006/main" count="1098" uniqueCount="703">
  <si>
    <t>CLIN</t>
  </si>
  <si>
    <t>REF.</t>
  </si>
  <si>
    <t>UNIT</t>
  </si>
  <si>
    <t>QUANTITY</t>
  </si>
  <si>
    <t>ITEM COST</t>
  </si>
  <si>
    <t>PERCENT INCREASE FOR CREECH AFB WORK</t>
  </si>
  <si>
    <t>SF</t>
  </si>
  <si>
    <t>LF</t>
  </si>
  <si>
    <t>EA</t>
  </si>
  <si>
    <t>NO</t>
  </si>
  <si>
    <t>ITEM</t>
  </si>
  <si>
    <t>Summary of Quantities</t>
  </si>
  <si>
    <t>REPAIR/CONSTRUCT HMA PAVEMENTS</t>
  </si>
  <si>
    <t>SY</t>
  </si>
  <si>
    <t>PATCH HMA PAVEMENT (100-500 SF)</t>
  </si>
  <si>
    <t>PATCH HMA PAVEMENT (500+ SF)</t>
  </si>
  <si>
    <t>CONSTRUCT 3" HMA (1,000-5,000 SY)</t>
  </si>
  <si>
    <t>CONSTRUCT 3" HMA (5,000+ SY)</t>
  </si>
  <si>
    <t>CONSTRUCT 4" HMA (1,000-5000 SY)</t>
  </si>
  <si>
    <t>CONSTRUCT 4" HMA (5,000+ SY)</t>
  </si>
  <si>
    <t>SAWCUT ASPHALT PAVEMENT</t>
  </si>
  <si>
    <t>SEAL CRACKS</t>
  </si>
  <si>
    <t>REPAIR LARGE CRACKS</t>
  </si>
  <si>
    <t>ROUT AND SEAL HMA/PCC JOINT</t>
  </si>
  <si>
    <t>PLACE RUBBERIZED ASPHALT EMULSION SEALANT (2,000-10,000 SY)</t>
  </si>
  <si>
    <t>PLACE RUBBERIZED ASPHALT EMULSION SEALANT (10,000+ SY)</t>
  </si>
  <si>
    <t>PLACE ASPHALT SEALER/REJUVENATOR (2,000-10,000 SY)</t>
  </si>
  <si>
    <t>PLACE ASPHALT SEALER/REJUVENATOR (10,000+ SY)</t>
  </si>
  <si>
    <t>PLACE DUST PALLIATIVE TREATMENT</t>
  </si>
  <si>
    <t>REPAIR FULL DEPTH SPALLS</t>
  </si>
  <si>
    <t>REPAIR PCC CRACKS</t>
  </si>
  <si>
    <t>DEMOLISH SIDEWALKS</t>
  </si>
  <si>
    <t>CONSTRUCT SIDEWALKS (100-500 SF)</t>
  </si>
  <si>
    <t>CONSTRUCT 6" THICK PCC PAVEMENT</t>
  </si>
  <si>
    <t>CONSTRUCT 8" THICK PCC PAVEMENT</t>
  </si>
  <si>
    <t xml:space="preserve">CONSTRUCT 12" THICK AIRFIELD PCC PAVEMENT </t>
  </si>
  <si>
    <t>CONSTRUCT 15" THICK AIRFIELD PCC PAVEMENT (15,000+ SY)</t>
  </si>
  <si>
    <t>CY</t>
  </si>
  <si>
    <t>CONST. DRAINAGE STRUCTURES</t>
  </si>
  <si>
    <t>CONSTRUCT DROP INLET</t>
  </si>
  <si>
    <t>CONNECT DROP INLET</t>
  </si>
  <si>
    <t>INSTALL CONCRETE CULVERT (24" EQUIVALENT DIAMETER)</t>
  </si>
  <si>
    <t>INSTALL CONCRETE CULVERT (36" EQUIVALENT DIAMETER)</t>
  </si>
  <si>
    <t>INSTALL UTILITY DUCTS</t>
  </si>
  <si>
    <t>INSTALL DUCT MARKERS</t>
  </si>
  <si>
    <t>ADJUST UTILITY ITEMS</t>
  </si>
  <si>
    <t>ADJUST WATER VALVE COVER TO GRADE</t>
  </si>
  <si>
    <t>ADJUST MANHOLE COVER TO GRADE</t>
  </si>
  <si>
    <t>REPLACE ELECTRICAL BOX</t>
  </si>
  <si>
    <t>RELOCATE FIRE HYDRANT</t>
  </si>
  <si>
    <t>PLACE PAVEMENT MARKINGS</t>
  </si>
  <si>
    <t>REMOVE PAINT</t>
  </si>
  <si>
    <t>INSTALL REFLECTIVE TRAFFIC MARKERS</t>
  </si>
  <si>
    <t>PLACE BLACK PAINT</t>
  </si>
  <si>
    <t>MICELLANEOUS</t>
  </si>
  <si>
    <t>INSTALL ASPHALT SPEED TABLE</t>
  </si>
  <si>
    <t>INSTALL PRECAST BUMPER BLOCK</t>
  </si>
  <si>
    <t>INSTALL DETECTABLE WARNING PANEL</t>
  </si>
  <si>
    <t>CONSTRUCT ROAD BOLLARD FOUNDATION AND COLLAR</t>
  </si>
  <si>
    <t>INSTALL AIRCRAFT MOORING/GROUNDING POINTS (4-20)</t>
  </si>
  <si>
    <t>INSTALL AIRCRAFT MOORING/GROUNDING POINTS(20+)</t>
  </si>
  <si>
    <t>00AA</t>
  </si>
  <si>
    <t>00AB</t>
  </si>
  <si>
    <t>00AC</t>
  </si>
  <si>
    <t>00AD</t>
  </si>
  <si>
    <t>00AE</t>
  </si>
  <si>
    <t>00AF</t>
  </si>
  <si>
    <t>00AG</t>
  </si>
  <si>
    <t>00AH</t>
  </si>
  <si>
    <t>00AJ</t>
  </si>
  <si>
    <t>00AK</t>
  </si>
  <si>
    <t>00AL</t>
  </si>
  <si>
    <t>00AM</t>
  </si>
  <si>
    <t>00AN</t>
  </si>
  <si>
    <t>00AP</t>
  </si>
  <si>
    <t>00AQ</t>
  </si>
  <si>
    <t>00AR</t>
  </si>
  <si>
    <t>00AS</t>
  </si>
  <si>
    <t>00AT</t>
  </si>
  <si>
    <t>00AU</t>
  </si>
  <si>
    <t>00AV</t>
  </si>
  <si>
    <t>00AW</t>
  </si>
  <si>
    <t>00AY</t>
  </si>
  <si>
    <t>00AZ</t>
  </si>
  <si>
    <t>00BA</t>
  </si>
  <si>
    <t>00BB</t>
  </si>
  <si>
    <t>00BC</t>
  </si>
  <si>
    <t>00BD</t>
  </si>
  <si>
    <t>00BE</t>
  </si>
  <si>
    <t>00BF</t>
  </si>
  <si>
    <t>00BG</t>
  </si>
  <si>
    <t>00BH</t>
  </si>
  <si>
    <t>00BK</t>
  </si>
  <si>
    <t>00BL</t>
  </si>
  <si>
    <t>00BM</t>
  </si>
  <si>
    <t>00BN</t>
  </si>
  <si>
    <t>00BQ</t>
  </si>
  <si>
    <t>00BR</t>
  </si>
  <si>
    <t>00BS</t>
  </si>
  <si>
    <t>00BT</t>
  </si>
  <si>
    <t>00BU</t>
  </si>
  <si>
    <t>00BV</t>
  </si>
  <si>
    <t>00BW</t>
  </si>
  <si>
    <t>00BY</t>
  </si>
  <si>
    <t>00BX</t>
  </si>
  <si>
    <t>00BZ</t>
  </si>
  <si>
    <t>00AX</t>
  </si>
  <si>
    <t>00CA</t>
  </si>
  <si>
    <t>00CB</t>
  </si>
  <si>
    <t>00CC</t>
  </si>
  <si>
    <t>00CD</t>
  </si>
  <si>
    <t>00CE</t>
  </si>
  <si>
    <t>00CF</t>
  </si>
  <si>
    <t>00CG</t>
  </si>
  <si>
    <t>00CH</t>
  </si>
  <si>
    <t>00CJ</t>
  </si>
  <si>
    <t>00CK</t>
  </si>
  <si>
    <t>00CL</t>
  </si>
  <si>
    <t>00CM</t>
  </si>
  <si>
    <t>00CN</t>
  </si>
  <si>
    <t>00CP</t>
  </si>
  <si>
    <t>00CQ</t>
  </si>
  <si>
    <t>00CR</t>
  </si>
  <si>
    <t>00CS</t>
  </si>
  <si>
    <t>00CT</t>
  </si>
  <si>
    <t>00CU</t>
  </si>
  <si>
    <t>00CV</t>
  </si>
  <si>
    <t>00CW</t>
  </si>
  <si>
    <t>00CX</t>
  </si>
  <si>
    <t>00CY</t>
  </si>
  <si>
    <t>00CZ</t>
  </si>
  <si>
    <t>00DA</t>
  </si>
  <si>
    <t>00DB</t>
  </si>
  <si>
    <t>00DC</t>
  </si>
  <si>
    <t>00DD</t>
  </si>
  <si>
    <t>00DE</t>
  </si>
  <si>
    <t>00DF</t>
  </si>
  <si>
    <t>00DG</t>
  </si>
  <si>
    <t>00DH</t>
  </si>
  <si>
    <t>00DJ</t>
  </si>
  <si>
    <t>00DK</t>
  </si>
  <si>
    <t>00DL</t>
  </si>
  <si>
    <t>00DM</t>
  </si>
  <si>
    <t>00DN</t>
  </si>
  <si>
    <t>00DP</t>
  </si>
  <si>
    <t>00DQ</t>
  </si>
  <si>
    <t>00DR</t>
  </si>
  <si>
    <t>00DS</t>
  </si>
  <si>
    <t>00DT</t>
  </si>
  <si>
    <t>00DU</t>
  </si>
  <si>
    <t>00DV</t>
  </si>
  <si>
    <t>00DW</t>
  </si>
  <si>
    <t>00DX</t>
  </si>
  <si>
    <t>00DY</t>
  </si>
  <si>
    <t>00DZ</t>
  </si>
  <si>
    <t>HR</t>
  </si>
  <si>
    <t>UNITS</t>
  </si>
  <si>
    <t>CONTROLLED AREA ESCORTS</t>
  </si>
  <si>
    <t>CONSTRUCT 6" HMA (1,000-5,000)</t>
  </si>
  <si>
    <t>CONSTRUCT 6" HMA (5,000+)</t>
  </si>
  <si>
    <t>EXCAVATE AND EXPORT SUBGRADE (2,500+ CY)</t>
  </si>
  <si>
    <t>EXCAVATE AND EXPORT SUBGRADE (100-2,500 CY)</t>
  </si>
  <si>
    <t>CONSTRUCT 10" THICK PCC ROAD INTERSECTION PAVEMENT</t>
  </si>
  <si>
    <t>REPAIR 4" HMA PAVEMENT (500-5,000 SY )</t>
  </si>
  <si>
    <t>REPAIR 3" HMA PAVEMENT (500-5,000 SY)</t>
  </si>
  <si>
    <t>REPAIR 3" HMA PAVEMENT(5,000+ SY)</t>
  </si>
  <si>
    <t>REPAIR 4" HMA PAVEMENT (5,000+ SY )</t>
  </si>
  <si>
    <t>REPAIR 6" HMA PAVEMENT ( 500-5,000 SY)</t>
  </si>
  <si>
    <t>REPAIR 6" HMA PAVEMENT (5,000 + SY)</t>
  </si>
  <si>
    <t>RPR PRIMARY AIRFIELD HMA PAVEMENT (3,000+ SY)</t>
  </si>
  <si>
    <t>OVERLAY 2" HMA PAVEMENT (2,000+ SY)</t>
  </si>
  <si>
    <t>REMOVE/REPLACE 3" HMA PAVEMENT (1,000-5,000 SY)</t>
  </si>
  <si>
    <t>REMOVE/REPLACE 3" HMA PAVEMENT (5,000+ SY)</t>
  </si>
  <si>
    <t>INSTALL FILL MATERIAL (100-500 CY)</t>
  </si>
  <si>
    <t>INSTALL FILL MATERIAL (500+ CY)</t>
  </si>
  <si>
    <t>INSTALL SUBBASE (500-2000 SY)</t>
  </si>
  <si>
    <t>INSTALL SUBBASE (2,000+ SY)</t>
  </si>
  <si>
    <t>HMA PAVEMENTS</t>
  </si>
  <si>
    <t xml:space="preserve">ROUT &amp; SEAL CRACKS </t>
  </si>
  <si>
    <t>PLACE COLD TAR SEAL</t>
  </si>
  <si>
    <t>CONSTRUCT SIDEWALKS (500+ SF)</t>
  </si>
  <si>
    <t>CONSTRUCT 15" THICK  AIRFIELD PCC PAVEMENT (250-15,000 SY)</t>
  </si>
  <si>
    <t>CONSTRUCT 20" THICK AIRFIELD PCC PAVEMENT (250+ SY)</t>
  </si>
  <si>
    <t>DEMOLISH 10" TO 15" THICK PCC PAVEMENT (5,000+ SY)</t>
  </si>
  <si>
    <t xml:space="preserve">DEMOLISH 15" TO 20" THICK PCC PAVEMENT </t>
  </si>
  <si>
    <t xml:space="preserve">DEMOLISH 6" TO 10" THICK PCC PAVEMENT </t>
  </si>
  <si>
    <t>DEMOLISH 10" TO 15" THICK PCC PAVEMENT (250-5,000 SY)</t>
  </si>
  <si>
    <t>SAWCUT PCC PAVEMENT &gt;12" (100+ LF)</t>
  </si>
  <si>
    <t>PCC PAVEMENTS</t>
  </si>
  <si>
    <t xml:space="preserve">SAWCUT PCC PAVEMENT &lt;12" </t>
  </si>
  <si>
    <t>INSTALL RIPRAP</t>
  </si>
  <si>
    <t>INSTALL 2-WAY POWER/COMM DUCT</t>
  </si>
  <si>
    <t>INSTALL 4-WAY POWER/COMM DUCT</t>
  </si>
  <si>
    <t>PLACE TRAFFIC STRIPING (500+ SF)</t>
  </si>
  <si>
    <t>INSTALL TRAFFIC TAPE (100+ SF)</t>
  </si>
  <si>
    <t>INSTALL CERAMIC TRAFFIC BUTTONS (100+)</t>
  </si>
  <si>
    <t>PLACE AIRFIELD REFLECTIVE STRIPING (500+ SF)</t>
  </si>
  <si>
    <t>INSTALL TRAFFIC CONTROL SIGN (up to 800 sq in)</t>
  </si>
  <si>
    <t>INSTALL TRAFFIC CONTROL SIGN (800-2500 sq in)</t>
  </si>
  <si>
    <t>OVERLAY 2" HMA AIRFIELD PAVEMENT (2,000+ SY)</t>
  </si>
  <si>
    <t>REMOVE 2"-7" HMA PAVEMENT</t>
  </si>
  <si>
    <t>REPAIR PARTIAL DEPTH SPALLS (50-500 SF)</t>
  </si>
  <si>
    <t>REPAIR PARTIAL DEPTH SPALLS (500+ SF)</t>
  </si>
  <si>
    <t xml:space="preserve">RESEAL PCC PAVEMENT JOINTS </t>
  </si>
  <si>
    <t>DEMOLISH CURBS AND GUTTERS</t>
  </si>
  <si>
    <t>CONSTRUCT CROSS GUTTERS (VALLEY GUTTER)</t>
  </si>
  <si>
    <t>CONSTRUCT PCC CURBS AND GUTTERS (50-500 LF)</t>
  </si>
  <si>
    <t>CONSTRUCT PCC CURBS AND GUTTERS (500+ LF)</t>
  </si>
  <si>
    <t>CONSTRUCT HEADWALL WITH WINGS</t>
  </si>
  <si>
    <t>INSTALL 24" CMP</t>
  </si>
  <si>
    <t>INSTALL 10" SLEEVE UNDER NEW PAVEMENT</t>
  </si>
  <si>
    <t>INSTALL 6" DIRECT BURIED DUCT</t>
  </si>
  <si>
    <t>REMOVE TRAFFIC BUTTONS/MARKERS</t>
  </si>
  <si>
    <t>INSTALL LARGE REFLECTIVE TRAFFIC MARKERS</t>
  </si>
  <si>
    <t>INSTALL REFLECTIVE ROADWAY DELINEATORS</t>
  </si>
  <si>
    <t>REMOVE/REPLACE TRAFFIC CONTROL SIGN (up to 800 sq in)</t>
  </si>
  <si>
    <t>REMOVE/REPLACE TRAFFIC CONTROL SIGN (800-2500 sq in)</t>
  </si>
  <si>
    <t>INSTALL URETHANE RUBBER SYSTEM (2,000+ SY)</t>
  </si>
  <si>
    <t>MAINTAIN URETHANE RUBBER SYSTEM (2,000+ SY)</t>
  </si>
  <si>
    <t>INSTALL LANDSCAPE ROCK</t>
  </si>
  <si>
    <t>DE-MOBILIZATION AND RE-MOBILIZATION</t>
  </si>
  <si>
    <t>PRICE ADJUSTMENT FACTORS</t>
  </si>
  <si>
    <t>DESIGN FEES</t>
  </si>
  <si>
    <t>SOIL TESTING (3  LOCATIONS)</t>
  </si>
  <si>
    <t>PERCENT INCREASE FOR  SOUTHERN NTTR WORK</t>
  </si>
  <si>
    <t>SUBTOTAL</t>
  </si>
  <si>
    <t>TOTAL</t>
  </si>
  <si>
    <t>1.3.11.1</t>
  </si>
  <si>
    <t>1.3.11.2</t>
  </si>
  <si>
    <t>1.3.11.3</t>
  </si>
  <si>
    <t>1.3.11.4</t>
  </si>
  <si>
    <t>1.3.11.5</t>
  </si>
  <si>
    <t>1.3.12.5</t>
  </si>
  <si>
    <t>1.3.13</t>
  </si>
  <si>
    <t>AA</t>
  </si>
  <si>
    <t>AB</t>
  </si>
  <si>
    <t>AC</t>
  </si>
  <si>
    <t>AD</t>
  </si>
  <si>
    <t>AE</t>
  </si>
  <si>
    <t>AF</t>
  </si>
  <si>
    <t>AG</t>
  </si>
  <si>
    <t>AH</t>
  </si>
  <si>
    <t>AJ</t>
  </si>
  <si>
    <t>AL</t>
  </si>
  <si>
    <t>AK</t>
  </si>
  <si>
    <t>AM</t>
  </si>
  <si>
    <t>AN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</si>
  <si>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</si>
  <si>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</si>
  <si>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</si>
  <si>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</si>
  <si>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</si>
  <si>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</si>
  <si>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</si>
  <si>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</si>
  <si>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</si>
  <si>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</si>
  <si>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</si>
  <si>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</si>
  <si>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</si>
  <si>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</si>
  <si>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</si>
  <si>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</si>
  <si>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</si>
  <si>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</si>
  <si>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</si>
  <si>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BK</t>
  </si>
  <si>
    <t>BL</t>
  </si>
  <si>
    <t>BM</t>
  </si>
  <si>
    <t>BN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</si>
  <si>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</si>
  <si>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</si>
  <si>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</si>
  <si>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</si>
  <si>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</si>
  <si>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</si>
  <si>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</si>
  <si>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</si>
  <si>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</si>
  <si>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</si>
  <si>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</si>
  <si>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</si>
  <si>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</si>
  <si>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</si>
  <si>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</si>
  <si>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</si>
  <si>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</si>
  <si>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</si>
  <si>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</si>
  <si>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CK</t>
  </si>
  <si>
    <t>CL</t>
  </si>
  <si>
    <t>CM</t>
  </si>
  <si>
    <t>CN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</si>
  <si>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</si>
  <si>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</si>
  <si>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</si>
  <si>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</si>
  <si>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</si>
  <si>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</si>
  <si>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</si>
  <si>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</si>
  <si>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</si>
  <si>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CZ</t>
  </si>
  <si>
    <t>DA</t>
  </si>
  <si>
    <t>DB</t>
  </si>
  <si>
    <t>DE</t>
  </si>
  <si>
    <t>DD</t>
  </si>
  <si>
    <t>DC</t>
  </si>
  <si>
    <t>DF</t>
  </si>
  <si>
    <t>DG</t>
  </si>
  <si>
    <t>DH</t>
  </si>
  <si>
    <t>DJ</t>
  </si>
  <si>
    <t>DK</t>
  </si>
  <si>
    <t>DL</t>
  </si>
  <si>
    <t>DM</t>
  </si>
  <si>
    <t>DN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</si>
  <si>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</si>
  <si>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</si>
  <si>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</si>
  <si>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</si>
  <si>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</si>
  <si>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</si>
  <si>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</si>
  <si>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</si>
  <si>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</si>
  <si>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</si>
  <si>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</si>
  <si>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EB</t>
  </si>
  <si>
    <t>EC</t>
  </si>
  <si>
    <t>ED</t>
  </si>
  <si>
    <t>EE</t>
  </si>
  <si>
    <t>EF</t>
  </si>
  <si>
    <t>EG</t>
  </si>
  <si>
    <t>EH</t>
  </si>
  <si>
    <t>EJ</t>
  </si>
  <si>
    <t>EK</t>
  </si>
  <si>
    <t>EL</t>
  </si>
  <si>
    <t>EM</t>
  </si>
  <si>
    <t>EN</t>
  </si>
  <si>
    <t>EP</t>
  </si>
  <si>
    <t>EQ</t>
  </si>
  <si>
    <t>SUMMARY</t>
  </si>
  <si>
    <t>GRADING PLAN  FEE &lt;=$250,000 TASK ORDER</t>
  </si>
  <si>
    <t>GRADING PLAN  FEE &gt; $250,0000 TASK ORDER</t>
  </si>
  <si>
    <t>Ord Period 1</t>
  </si>
  <si>
    <t>Ord Period 2</t>
  </si>
  <si>
    <t>Ord Period 3</t>
  </si>
  <si>
    <t>Ord Period 4</t>
  </si>
  <si>
    <t>Ord Period 5</t>
  </si>
  <si>
    <t>PAVING IDIQ LINE ITEM PRICING SCHEDULE</t>
  </si>
  <si>
    <t>PERCENT INCREASE FOR NON-STANDARD WORK HOURS</t>
  </si>
  <si>
    <t>IGE</t>
  </si>
  <si>
    <t>PULVERIZE/REPLACE 6" HMA PAVEMENT (5000+ SY)</t>
  </si>
  <si>
    <t>PULVERIZE/REPLACE 6" HMA PAVEMENT (500-4999 SY)</t>
  </si>
  <si>
    <t>PULVERIZE/REPLACE 4" HMA PAVEMENT (5000+ SY)</t>
  </si>
  <si>
    <t>PULVERIZE/REPLACE 4" HMA PAVEMENT (500-4999 SY)</t>
  </si>
  <si>
    <t>PULVERIZE/REPLACE 3" HMA PAVEMENT (5000+ SY)</t>
  </si>
  <si>
    <t>PULVERIZE/REPLACE 3" HMA PAVEMENT (500-4999 SY)</t>
  </si>
  <si>
    <t>PULVERIZATION</t>
  </si>
  <si>
    <t>RESEAL PCC POLY_JET PAVEMENT JOINTS (300-1999)</t>
  </si>
  <si>
    <t>RESEAL PCC POLY_JET PAVEMENT JOINTS (2000+)</t>
  </si>
  <si>
    <t>00FA</t>
  </si>
  <si>
    <t>00FB</t>
  </si>
  <si>
    <t>00FC</t>
  </si>
  <si>
    <t>00FD</t>
  </si>
  <si>
    <t>00FE</t>
  </si>
  <si>
    <t>00FF</t>
  </si>
  <si>
    <t>00FG</t>
  </si>
  <si>
    <t>00FH</t>
  </si>
  <si>
    <t>1.5.2.1.</t>
  </si>
  <si>
    <t>1.5.2.2.</t>
  </si>
  <si>
    <t>1.5.2.3.</t>
  </si>
  <si>
    <t>1.5.2.4.</t>
  </si>
  <si>
    <t>1.5.2.5.</t>
  </si>
  <si>
    <t>1.5.2.6.</t>
  </si>
  <si>
    <t>1.5.2.7.</t>
  </si>
  <si>
    <t>1.5.2.8.</t>
  </si>
  <si>
    <t>1.5.2.9.</t>
  </si>
  <si>
    <t>1.5.2.10.</t>
  </si>
  <si>
    <t>1.5.2.11.</t>
  </si>
  <si>
    <t>1.5.2.12.</t>
  </si>
  <si>
    <t>1.5.2.13.</t>
  </si>
  <si>
    <t>1.5.2.14.</t>
  </si>
  <si>
    <t>1.5.2.15.</t>
  </si>
  <si>
    <t>1.5.2.16.</t>
  </si>
  <si>
    <t>1.5.2.17.</t>
  </si>
  <si>
    <t>1.5.2.18.</t>
  </si>
  <si>
    <t>1.5.2.19.</t>
  </si>
  <si>
    <t>1.5.2.20.</t>
  </si>
  <si>
    <t>1.5.2.21.</t>
  </si>
  <si>
    <t>1.5.2.22.</t>
  </si>
  <si>
    <t>1.5.2.23.</t>
  </si>
  <si>
    <t>1.5.3.1.</t>
  </si>
  <si>
    <t>1.5.3.2.</t>
  </si>
  <si>
    <t>1.5.3.3.</t>
  </si>
  <si>
    <t>1.5.3.4.</t>
  </si>
  <si>
    <t>1.5.3.5.</t>
  </si>
  <si>
    <t>1.5.3.6.</t>
  </si>
  <si>
    <t>1.5.3.7.</t>
  </si>
  <si>
    <t>1.5.3.8.</t>
  </si>
  <si>
    <t>1.5.3.9.</t>
  </si>
  <si>
    <t>1.5.3.10.</t>
  </si>
  <si>
    <t>1.5.3.11.</t>
  </si>
  <si>
    <t>1.5.3.12.</t>
  </si>
  <si>
    <t>1.5.3.13.</t>
  </si>
  <si>
    <t>1.5.3.14.</t>
  </si>
  <si>
    <t>1.5.3.15.</t>
  </si>
  <si>
    <t>1.5.3.16.</t>
  </si>
  <si>
    <t>1.5.3.17.</t>
  </si>
  <si>
    <t>1.5.3.18.</t>
  </si>
  <si>
    <t>1.5.3.19.</t>
  </si>
  <si>
    <t>1.5.3.20.</t>
  </si>
  <si>
    <t>1.5.4.1.</t>
  </si>
  <si>
    <t>1.5.4.2.</t>
  </si>
  <si>
    <t>1.5.4.3.</t>
  </si>
  <si>
    <t>1.5.4.4.</t>
  </si>
  <si>
    <t>1.5.4.5.</t>
  </si>
  <si>
    <t>1.5.4.6.</t>
  </si>
  <si>
    <t>1.5.5.1.</t>
  </si>
  <si>
    <t>1.5.5.2.</t>
  </si>
  <si>
    <t>1.5.5.3.</t>
  </si>
  <si>
    <t>1.5.5.4.</t>
  </si>
  <si>
    <t>1.5.5.5.</t>
  </si>
  <si>
    <t>INSTALL 2" DIRECT BURIED DUCT</t>
  </si>
  <si>
    <t>1.5.5.6.</t>
  </si>
  <si>
    <t xml:space="preserve">1.5.6.1. </t>
  </si>
  <si>
    <t xml:space="preserve">1.5.6.2. </t>
  </si>
  <si>
    <t xml:space="preserve">1.5.6.3. </t>
  </si>
  <si>
    <t xml:space="preserve">1.5.6.4. </t>
  </si>
  <si>
    <t>1.5.7.1.</t>
  </si>
  <si>
    <t>Current</t>
  </si>
  <si>
    <t>INSTALL LIGHT POLE BASE</t>
  </si>
  <si>
    <t>1.5.6.5.</t>
  </si>
  <si>
    <t>1.5.7.2.</t>
  </si>
  <si>
    <t>1.5.7.3.</t>
  </si>
  <si>
    <t>1.5.7.4.</t>
  </si>
  <si>
    <t>1.5.7.5.</t>
  </si>
  <si>
    <t>1.5.7.6.</t>
  </si>
  <si>
    <t>1.5.7.7.</t>
  </si>
  <si>
    <t>1.5.7.8.</t>
  </si>
  <si>
    <t>1.5.7.9.</t>
  </si>
  <si>
    <t>1.5.7.10.</t>
  </si>
  <si>
    <t>HAND STENCIL</t>
  </si>
  <si>
    <t xml:space="preserve">SURVEY TEAM </t>
  </si>
  <si>
    <t>1.5.7.11.</t>
  </si>
  <si>
    <t>1.5.7.12.</t>
  </si>
  <si>
    <t>DAY</t>
  </si>
  <si>
    <t>1.5.8.1.</t>
  </si>
  <si>
    <t>GROOVE/GRIND HMA/PCC PAVEMENTS</t>
  </si>
  <si>
    <t>1.5.8.2.</t>
  </si>
  <si>
    <t>1.5.8.3.</t>
  </si>
  <si>
    <t>1.5.9.1.</t>
  </si>
  <si>
    <t>1.5.9.2.</t>
  </si>
  <si>
    <t>1.5.10.1.</t>
  </si>
  <si>
    <t>1.5.10.2.</t>
  </si>
  <si>
    <t>1.5.10.3.</t>
  </si>
  <si>
    <t>1.5.10.4.</t>
  </si>
  <si>
    <t>1.5.10.5.</t>
  </si>
  <si>
    <t>1.5.10.6.</t>
  </si>
  <si>
    <t>1.5.10.7.</t>
  </si>
  <si>
    <t>1.5.10.8.</t>
  </si>
  <si>
    <t>1.5.10.9.</t>
  </si>
  <si>
    <t>1.5.10.10.</t>
  </si>
  <si>
    <t>1.5.10.11.</t>
  </si>
  <si>
    <t>INSTALL BOLLARDS</t>
  </si>
  <si>
    <t>1.5.10.12.</t>
  </si>
  <si>
    <t>1.5.10.13.</t>
  </si>
  <si>
    <t>1.5.10.14.</t>
  </si>
  <si>
    <t>INSTALL W-BEAM GUARDRAIL</t>
  </si>
  <si>
    <t>DEMOLISH FENCE</t>
  </si>
  <si>
    <t>DAILY CLEAN UP</t>
  </si>
  <si>
    <t>NON-CONTROLLED AREA ESCORTS</t>
  </si>
  <si>
    <t>1.3.11.3.</t>
  </si>
  <si>
    <t>RESEAL PCC POLY-JET LOX PAVEMENT JOINTS (300-2000)</t>
  </si>
  <si>
    <t>RESEAL PCC POLY-JET LOX PAVEMENT JOINTS (2000+)</t>
  </si>
  <si>
    <t>1.5.3.21.</t>
  </si>
  <si>
    <t>GROOVING AIRFIELD HMA/PCC SURAFCES</t>
  </si>
  <si>
    <t>GRINDING AIRFIELD HMA/PCC SURFACES</t>
  </si>
  <si>
    <t>00FI</t>
  </si>
  <si>
    <t>00FJ</t>
  </si>
  <si>
    <t>00FK</t>
  </si>
  <si>
    <t>00FL</t>
  </si>
  <si>
    <t>00FM</t>
  </si>
  <si>
    <t>00FN</t>
  </si>
  <si>
    <t>00FO</t>
  </si>
  <si>
    <t>00FP</t>
  </si>
  <si>
    <t>00FQ</t>
  </si>
  <si>
    <t>00FR</t>
  </si>
  <si>
    <t>00FS</t>
  </si>
  <si>
    <t>00FT</t>
  </si>
  <si>
    <t>00FU</t>
  </si>
  <si>
    <t>00FV</t>
  </si>
  <si>
    <t>00FW</t>
  </si>
  <si>
    <t>00FX</t>
  </si>
  <si>
    <t>00FY</t>
  </si>
  <si>
    <t>00FZ</t>
  </si>
  <si>
    <t>00HA</t>
  </si>
  <si>
    <t>00HB</t>
  </si>
  <si>
    <t>00HC</t>
  </si>
  <si>
    <t>00HD</t>
  </si>
  <si>
    <t>DI</t>
  </si>
  <si>
    <t>DO</t>
  </si>
  <si>
    <t>EI</t>
  </si>
  <si>
    <t>EO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</si>
  <si>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</si>
  <si>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</si>
  <si>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</si>
  <si>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</si>
  <si>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</si>
  <si>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</si>
  <si>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</si>
  <si>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</si>
  <si>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</si>
  <si>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</si>
  <si>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</si>
  <si>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</si>
  <si>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</si>
  <si>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1.5.10.15</t>
  </si>
  <si>
    <t>INSTALL HANDRAIL</t>
  </si>
  <si>
    <t>FE</t>
  </si>
  <si>
    <t>ISNTALL 2" DIRECT BURIED DUCT</t>
  </si>
  <si>
    <t>SAW CUT ASPHALT PAVEMENT</t>
  </si>
  <si>
    <t>ROUT AND SEAL HMA/PCC PAVEMENT JOINT</t>
  </si>
  <si>
    <t>PLACE DUST PALLIATIVE</t>
  </si>
  <si>
    <t>CONSTRUCT CROSS/VALLEY GUTTERS</t>
  </si>
  <si>
    <t>INSTALL CORRUGATED METAL PIPE (CMP)</t>
  </si>
  <si>
    <t>INSTALL SLEEVE UNDER NEW PAVEMENT</t>
  </si>
  <si>
    <t>INSTALL DUCT BANK LOCATION MARKERS</t>
  </si>
  <si>
    <t>SURVEY TEAM</t>
  </si>
  <si>
    <t>INSTALL TRAFFIC CONTROL SIGN (800-2,500 sq in)</t>
  </si>
  <si>
    <t>DEMOLISH TRAFFIC CONTROL SIGN (up to 800 sq in)</t>
  </si>
  <si>
    <t>DEMOLISH TRAFFIC CONTROL SIGN (800-2,500 sq in)</t>
  </si>
  <si>
    <t>REPLACE TRAFFIC CONTROL SIGN (up to 800 sq in)</t>
  </si>
  <si>
    <t>REPLACE TRAFFIC CONTROL SIGN (800-2,500 sq in)</t>
  </si>
  <si>
    <t>INSTALL URETHANE RUBBER SYSTEM</t>
  </si>
  <si>
    <t>MAINTAIN URETHANE RUBBER SYSTEM</t>
  </si>
  <si>
    <t>CONSTRUCT AND INSTALL FIXED ROAD BOLLARDS</t>
  </si>
  <si>
    <t>YEAR 4</t>
  </si>
  <si>
    <t>YEAR1</t>
  </si>
  <si>
    <t>YEAR 2</t>
  </si>
  <si>
    <t>YEAR 3</t>
  </si>
  <si>
    <t>YEAR 5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</si>
  <si>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</si>
  <si>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</si>
  <si>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</si>
  <si>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</si>
  <si>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</si>
  <si>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</si>
  <si>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</si>
  <si>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</si>
  <si>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</si>
  <si>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</si>
  <si>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3.1.1.11</t>
  </si>
  <si>
    <t xml:space="preserve">ROUTE AND SEAL CRACKS </t>
  </si>
  <si>
    <t>3.1.1.12</t>
  </si>
  <si>
    <t>3.1.1.13</t>
  </si>
  <si>
    <t>3.1.1.14</t>
  </si>
  <si>
    <t>3.1.1.15</t>
  </si>
  <si>
    <t>3.1.1.16</t>
  </si>
  <si>
    <t>3.1.1.17</t>
  </si>
  <si>
    <t>3.1.1.18</t>
  </si>
  <si>
    <t>3.1.1.19</t>
  </si>
  <si>
    <t>3.1.1.20</t>
  </si>
  <si>
    <t>3.1.1.21</t>
  </si>
  <si>
    <t>3.1.1.22</t>
  </si>
  <si>
    <t>3.1.1.23</t>
  </si>
  <si>
    <t>3.1.2.1</t>
  </si>
  <si>
    <t>3.1.2.2</t>
  </si>
  <si>
    <t>3.1.2.3</t>
  </si>
  <si>
    <t>3.1.2.4</t>
  </si>
  <si>
    <t>3.1.2.5</t>
  </si>
  <si>
    <t>3.1.2.6</t>
  </si>
  <si>
    <t>3.1.3.1</t>
  </si>
  <si>
    <t>3.1.3.2</t>
  </si>
  <si>
    <t>3.1.3.3</t>
  </si>
  <si>
    <t>3.1.3.4</t>
  </si>
  <si>
    <t>3.1.3.5</t>
  </si>
  <si>
    <t>3.1.3.6</t>
  </si>
  <si>
    <t>3.1.4.1</t>
  </si>
  <si>
    <t>3.1.4.2</t>
  </si>
  <si>
    <t>3.1.4.3</t>
  </si>
  <si>
    <t>3.1.4.4</t>
  </si>
  <si>
    <t>3.1.4.5</t>
  </si>
  <si>
    <t>3.1.4.6</t>
  </si>
  <si>
    <t>3.1.5.1</t>
  </si>
  <si>
    <t>3.1.5.2</t>
  </si>
  <si>
    <t>3.1.6.1</t>
  </si>
  <si>
    <t>3.1.6.2</t>
  </si>
  <si>
    <t>3.1.6.3</t>
  </si>
  <si>
    <t>3.1.6.4</t>
  </si>
  <si>
    <t>3.1.6.5</t>
  </si>
  <si>
    <t>3.1.6.6</t>
  </si>
  <si>
    <t>3.1.6.7</t>
  </si>
  <si>
    <t>3.1.6.8</t>
  </si>
  <si>
    <t>3.1.6.9</t>
  </si>
  <si>
    <t>3.1.6.10</t>
  </si>
  <si>
    <t>3.1.6.11</t>
  </si>
  <si>
    <t>3.1.7.1</t>
  </si>
  <si>
    <t>3.1.7.2</t>
  </si>
  <si>
    <t>3.1.7.3</t>
  </si>
  <si>
    <t>3.1.7.4</t>
  </si>
  <si>
    <t>3.1.7.5</t>
  </si>
  <si>
    <t>3.1.7.6</t>
  </si>
  <si>
    <t>3.1.8.1</t>
  </si>
  <si>
    <t>3.1.8.2</t>
  </si>
  <si>
    <t>3.1.8.3</t>
  </si>
  <si>
    <t>3.1.8.4</t>
  </si>
  <si>
    <t>3.1.8.5</t>
  </si>
  <si>
    <t>3.1.8.6</t>
  </si>
  <si>
    <t>3.1.8.7</t>
  </si>
  <si>
    <t>3.1.8.8</t>
  </si>
  <si>
    <t>3.1.8.9</t>
  </si>
  <si>
    <t>3.1.8.10</t>
  </si>
  <si>
    <t>3.1.8.11</t>
  </si>
  <si>
    <t>3.1.8.12</t>
  </si>
  <si>
    <t>3.1.8.13</t>
  </si>
  <si>
    <t>MOBILIZATION/DE-MOBILIZATION OF ASPHALT CREW (0-50 MILES FROM GATE 100)</t>
  </si>
  <si>
    <t>MOBILIZATION/DE-MOBILIZATION OF PULVERIZATION CREW (0-50 MILES FROM GATE 100)</t>
  </si>
  <si>
    <t>MOBILIZATION/DE-MOBILIZATION OF CHIP AND SEAL CREW (0-50 MILES FROM GATE 100)</t>
  </si>
  <si>
    <t>MOBILIZATION/DE-MOBILIZATION OF ASPHALT CREW (51+ MILES FROM GATE 100)</t>
  </si>
  <si>
    <t>MOBILIZATION/DE-MOBILIZATION OF PULVERIZATION CREW (51+ MILES FROM GATE 100)</t>
  </si>
  <si>
    <t>MOBILIZATION/DE-MOBILIZATION OF CHIP AND SEAL CREW (51+ MILES FROM GATE 100)</t>
  </si>
  <si>
    <t>MOBILIZATION/DE-MOBILIZATION OF ASPHALT CREW (NLV or RSL)</t>
  </si>
  <si>
    <t>MOBILIZATION/DE-MOBILIZATION OF PULVERIZATION CREW (NLV or RSL)</t>
  </si>
  <si>
    <t>MOBILIZATION/DE-MOBILIZATION OF CHIP AND SEAL CREW (NLV or RSL)</t>
  </si>
  <si>
    <t>MOBILIZATION/DE-MOBILIZATION OF GENERAL LABOR AND EQUIPMENT FOR ALL OTHER TASKS (0-50 MILES FROM GATE 100)</t>
  </si>
  <si>
    <t>MOBILIZATION/DE-MOBILIZATION OF LABOR AND EQUIPMENT FOR ALL OTHER TASKS (51+ MILES FROM GATE 100)</t>
  </si>
  <si>
    <t>MOBILIZATION/DE-MOBILIZATION OF LABOR AND EQUIPMENT FOR ALL OTHER TASKS (NLV or RSL)</t>
  </si>
  <si>
    <t>MOBILIZATION/DE-MOBILIZATION OF SLURRY SEAL CREW (0-50 MILES FROM GATE 100)</t>
  </si>
  <si>
    <t>MOBILIZATION/DE-MOBILIZATION OF SLURRY SEAL CREW (51+ MILES FROM GATE 100)</t>
  </si>
  <si>
    <t>MOBILIZATION/DE-MOBILIZATION OF SLURRY SEAL CREW (NLV or RSL)</t>
  </si>
  <si>
    <t>3.1.1.24</t>
  </si>
  <si>
    <t>3.1.1.25</t>
  </si>
  <si>
    <t>3.1.1.26</t>
  </si>
  <si>
    <t>3.1.1.27</t>
  </si>
  <si>
    <t>3.1.1.28</t>
  </si>
  <si>
    <t>3.1.1.29</t>
  </si>
  <si>
    <t>ADDITIONAL CHARGE - WORK PERFORMED ON FRIDAY OR SATURDAY</t>
  </si>
  <si>
    <t>WORK CONTROL PACKAGE/SITE SPECIFIC SAFETY PLAN</t>
  </si>
  <si>
    <t>TO</t>
  </si>
  <si>
    <t>BADGING/TRAINING</t>
  </si>
  <si>
    <t>3.1.8.14</t>
  </si>
  <si>
    <t>3.1.8.15</t>
  </si>
  <si>
    <t>PROVIDE TRAFFIC CONTROL (NO PILOT CAR)</t>
  </si>
  <si>
    <t>PROVIDE TRAFFIC CONTROL (WITH PILOT CAR)</t>
  </si>
  <si>
    <t>PERSON</t>
  </si>
  <si>
    <t>PAYMENT BOND AS PERCENTAGE OF TASK ORDER VALUE</t>
  </si>
  <si>
    <t>PERFORMANCE BOND AS PERCENTAGE OF TASK ORDER VALUE</t>
  </si>
  <si>
    <t>INSURNACE BOND</t>
  </si>
  <si>
    <t>REPAIR 3” HMA PAVEMENT (100-4,999 SY)</t>
  </si>
  <si>
    <t>REPAIR 3” HMA PAVEMENT (5,000+ SY)</t>
  </si>
  <si>
    <t>REPAIR 4" HMA PAVEMENT (100-4,999 SY)</t>
  </si>
  <si>
    <t>REPAIR 4" HMA PAVEMENT (5,000+ SY)</t>
  </si>
  <si>
    <t>REPAIR 6" HMA PAVEMENT (100-4,999 SY)</t>
  </si>
  <si>
    <t>PATCH HMA PAVEMENT (100-499 SF)</t>
  </si>
  <si>
    <t>OVERLAY 2" HMA PAVEMENT (1,000+ SY)</t>
  </si>
  <si>
    <t>REMOVE UP TO 3" HMA PAVEMENT</t>
  </si>
  <si>
    <t>REMOVE 4"- 5" HMA PAVEMENT</t>
  </si>
  <si>
    <t>REMOVE 6"- 7" HMA PAVEMENT</t>
  </si>
  <si>
    <t>REMOVE/REPLACE 3” HMA PAVEMENT (100-4,999 SY)</t>
  </si>
  <si>
    <t>REMOVE/REPLACE 3” HMA PAVEMENT (5,000+ SY)</t>
  </si>
  <si>
    <t>REMOVE/REPLACE 4” HMA PAVEMENT (100-4,999 SY)</t>
  </si>
  <si>
    <t>REMOVE/REPLACE 4” HMA 3 PAVEMENT (5,000+ SY)</t>
  </si>
  <si>
    <t>CONSTRUCT 3" HMA PAVEMENT (100-4,999 SY)</t>
  </si>
  <si>
    <t>CONSTRUCT 3" HMA PAVEMENT (5,000+ SY)</t>
  </si>
  <si>
    <t>CONSTRUCT 4" HMA PAVEMENT (100-4,999 SY)</t>
  </si>
  <si>
    <t>CONSTRUCT 4" HMA PAVEEMNT (5,000+ SY)</t>
  </si>
  <si>
    <t>CONSTRUCT 6" HMA PAVEMENT (100-5,000 SY)</t>
  </si>
  <si>
    <t>CONSTRUCT 6" HMA PAVEMENT (5,000+ SY)</t>
  </si>
  <si>
    <t>PLACE 4" HMA PAVEMENT (100-4,999 SY)</t>
  </si>
  <si>
    <t>PLACE 3" HMA PAVEMENT (100-4,999 SY)</t>
  </si>
  <si>
    <t>PLACE 6" HMA PAVEMENT (100-4,999 SY)</t>
  </si>
  <si>
    <t>PLACE 3" HMA PAVEMENT (5,000+ SY)</t>
  </si>
  <si>
    <t>PLACE 4" HMA PAVEMENT (5,000+ SY)</t>
  </si>
  <si>
    <t>PLACE 6" HMA PAVEMENT (5,000+ SY)</t>
  </si>
  <si>
    <t>INSTALL FILL MATERIAL (100-499 CY)</t>
  </si>
  <si>
    <t>INSTALL SUBBASE (100-1,999 SY)</t>
  </si>
  <si>
    <t>EXCAVATE AND EXPORT SUBGRADE (100-2,499 CY)</t>
  </si>
  <si>
    <t>PLACE POLYMER ASPHALT EMULSION SEALANT (1,000-9,999 SY)</t>
  </si>
  <si>
    <t>PLACE POLYMER ASPHALT EMULSION SEALANT (10,000+ SY)</t>
  </si>
  <si>
    <t>PLACE ASPHALT SEALER/REJUVENATOR (1,000-9,999 SY)</t>
  </si>
  <si>
    <t>APPLY SIGLE CHIP AND FOG SEAL (100-4,999 SY)</t>
  </si>
  <si>
    <t>APPLY DOUBLE CHIP AND FOG SEAL (100-4,999 SY)</t>
  </si>
  <si>
    <t>APPLY SLURRY SEAL (100-4,999 SY)</t>
  </si>
  <si>
    <t>APPLY SIGLE CHIP AND FOG SEAL (5,000+ SY)</t>
  </si>
  <si>
    <t>APPLY DOUBLE CHIP AND FOG SEAL (5,000+ SY)</t>
  </si>
  <si>
    <t>APPLY SLURRY SEAL (5,000+ SY)</t>
  </si>
  <si>
    <t>CONSTRUCT PCC CURBS AND GUTTERS (50-499 LF)</t>
  </si>
  <si>
    <t>CONSTRUCT SIDEWALKS (100-499 SF)</t>
  </si>
  <si>
    <t>PLACE TRAFFIC STRIPING (100+ SF)</t>
  </si>
  <si>
    <t>INSTALL CERAMIC TRAFFIC BUTTONS (1-99)</t>
  </si>
  <si>
    <t>PULVERIZE/REPLACE 3" HMA PAVEMENT (100-4,999 SY)</t>
  </si>
  <si>
    <t>PULVERIZE/REPLACE 3" HMA PAVEMENT (5,000+ SY)</t>
  </si>
  <si>
    <t>PULVERIZE/REPLACE 4" HMA PAVEMENT (100-4,999 SY)</t>
  </si>
  <si>
    <t>PULVERIZE/REPLACE 4" HMA PAVEMENT (5,000+ SY)</t>
  </si>
  <si>
    <t>PULVERIZE/REPLACE 6" HMA PAVEMENT (100-4,999 SY)</t>
  </si>
  <si>
    <t>PULVERIZE/REPLACE 6" HMA PAVEMENT (5,000+ SY)</t>
  </si>
  <si>
    <t>PULVERIZE 3" HMA PAVEMENT (100-4,999 SY)</t>
  </si>
  <si>
    <t>PULVERIZE 4" HMA PAVEMENT (100-4,999 SY)</t>
  </si>
  <si>
    <t>PULVERIZE 6" HMA PAVEMENT (100-4,999 SY)</t>
  </si>
  <si>
    <t>PULVERIZE 3" HMA PAVEMENT (5,000+ SY)</t>
  </si>
  <si>
    <t>PULVERIZE 4" HMA PAVEMENT (5,000+ SY)</t>
  </si>
  <si>
    <t>PULVERIZE 6" HMA PAVEMENT (5,000+ SY)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</si>
</sst>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 mmmm\,\ yyyy;@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7.5"/>
      <color indexed="8"/>
      <name val="Times New Roman"/>
      <family val="1"/>
    </font>
    <font>
      <sz val="11"/>
      <color indexed="8"/>
      <name val="Calibri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indexed="9"/>
      <name val="Times New Roman"/>
      <family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sz val="7"/>
      <color rgb="FFFF0000"/>
      <name val="Times New Roman"/>
      <family val="1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5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9" fillId="0" borderId="13" xfId="0" applyFont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44" fontId="11" fillId="6" borderId="6" xfId="0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37" fontId="10" fillId="0" borderId="5" xfId="0" applyNumberFormat="1" applyFont="1" applyBorder="1" applyAlignment="1">
      <alignment horizontal="center" vertical="center"/>
    </xf>
    <xf numFmtId="44" fontId="15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8" fillId="4" borderId="19" xfId="0" applyFont="1" applyFill="1" applyBorder="1" applyAlignment="1" applyProtection="1">
      <alignment horizontal="left"/>
      <protection locked="0"/>
    </xf>
    <xf numFmtId="44" fontId="9" fillId="0" borderId="1" xfId="1" applyFont="1" applyBorder="1" applyAlignment="1">
      <alignment vertical="center"/>
    </xf>
    <xf numFmtId="44" fontId="9" fillId="0" borderId="4" xfId="1" applyFont="1" applyBorder="1" applyAlignment="1" applyProtection="1">
      <protection locked="0"/>
    </xf>
    <xf numFmtId="44" fontId="9" fillId="0" borderId="1" xfId="1" applyFont="1" applyBorder="1" applyAlignment="1"/>
    <xf numFmtId="0" fontId="8" fillId="4" borderId="1" xfId="0" applyFont="1" applyFill="1" applyBorder="1" applyAlignment="1">
      <alignment vertical="center"/>
    </xf>
    <xf numFmtId="44" fontId="9" fillId="4" borderId="1" xfId="1" applyFont="1" applyFill="1" applyBorder="1" applyAlignment="1" applyProtection="1">
      <protection locked="0"/>
    </xf>
    <xf numFmtId="44" fontId="9" fillId="4" borderId="4" xfId="1" applyFont="1" applyFill="1" applyBorder="1" applyAlignment="1" applyProtection="1">
      <protection locked="0"/>
    </xf>
    <xf numFmtId="44" fontId="9" fillId="4" borderId="1" xfId="1" applyFont="1" applyFill="1" applyBorder="1" applyAlignment="1"/>
    <xf numFmtId="44" fontId="9" fillId="0" borderId="1" xfId="1" applyFont="1" applyBorder="1" applyAlignment="1" applyProtection="1">
      <protection locked="0"/>
    </xf>
    <xf numFmtId="9" fontId="9" fillId="0" borderId="1" xfId="1" applyNumberFormat="1" applyFont="1" applyBorder="1" applyAlignment="1">
      <alignment vertical="center"/>
    </xf>
    <xf numFmtId="9" fontId="10" fillId="0" borderId="4" xfId="0" applyNumberFormat="1" applyFont="1" applyBorder="1" applyAlignment="1" applyProtection="1">
      <alignment vertical="center"/>
      <protection locked="0"/>
    </xf>
    <xf numFmtId="9" fontId="10" fillId="0" borderId="4" xfId="0" applyNumberFormat="1" applyFont="1" applyBorder="1" applyAlignment="1">
      <alignment vertical="center"/>
    </xf>
    <xf numFmtId="9" fontId="10" fillId="0" borderId="9" xfId="0" applyNumberFormat="1" applyFont="1" applyBorder="1" applyAlignment="1" applyProtection="1">
      <alignment vertical="center"/>
      <protection locked="0"/>
    </xf>
    <xf numFmtId="9" fontId="10" fillId="0" borderId="9" xfId="0" applyNumberFormat="1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9" fontId="1" fillId="0" borderId="0" xfId="4" applyFont="1" applyAlignment="1">
      <alignment horizontal="center" vertical="center"/>
    </xf>
    <xf numFmtId="9" fontId="5" fillId="0" borderId="0" xfId="4" applyFont="1" applyAlignment="1">
      <alignment horizontal="center" vertical="center"/>
    </xf>
    <xf numFmtId="44" fontId="5" fillId="7" borderId="0" xfId="1" applyFont="1" applyFill="1" applyAlignment="1">
      <alignment horizontal="center" vertical="center"/>
    </xf>
    <xf numFmtId="9" fontId="5" fillId="7" borderId="0" xfId="4" applyFont="1" applyFill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44" fontId="10" fillId="0" borderId="16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44" fontId="9" fillId="8" borderId="1" xfId="1" applyFont="1" applyFill="1" applyBorder="1" applyAlignment="1">
      <alignment vertical="center"/>
    </xf>
    <xf numFmtId="44" fontId="9" fillId="8" borderId="4" xfId="1" applyFont="1" applyFill="1" applyBorder="1" applyAlignment="1" applyProtection="1">
      <protection locked="0"/>
    </xf>
    <xf numFmtId="44" fontId="9" fillId="0" borderId="4" xfId="1" applyFont="1" applyFill="1" applyBorder="1" applyAlignment="1" applyProtection="1">
      <protection locked="0"/>
    </xf>
    <xf numFmtId="0" fontId="10" fillId="0" borderId="25" xfId="0" applyFont="1" applyBorder="1" applyAlignment="1">
      <alignment horizontal="left" vertical="center"/>
    </xf>
    <xf numFmtId="44" fontId="9" fillId="0" borderId="4" xfId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9" fontId="9" fillId="0" borderId="7" xfId="1" applyNumberFormat="1" applyFont="1" applyBorder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11" fillId="8" borderId="25" xfId="0" applyFont="1" applyFill="1" applyBorder="1" applyAlignment="1">
      <alignment horizontal="left" vertical="center"/>
    </xf>
    <xf numFmtId="0" fontId="9" fillId="8" borderId="2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0" fillId="8" borderId="1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44" fontId="9" fillId="8" borderId="7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5" fillId="0" borderId="0" xfId="1" applyFont="1" applyFill="1" applyAlignment="1">
      <alignment horizontal="center" vertical="center"/>
    </xf>
    <xf numFmtId="9" fontId="5" fillId="0" borderId="0" xfId="4" applyFont="1" applyFill="1" applyAlignment="1">
      <alignment horizontal="center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5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 vertical="center"/>
    </xf>
    <xf numFmtId="37" fontId="10" fillId="9" borderId="15" xfId="0" applyNumberFormat="1" applyFont="1" applyFill="1" applyBorder="1" applyAlignment="1">
      <alignment horizontal="center" vertical="center"/>
    </xf>
    <xf numFmtId="44" fontId="10" fillId="9" borderId="6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9" fillId="9" borderId="0" xfId="0" applyFont="1" applyFill="1" applyAlignment="1">
      <alignment horizontal="center" vertical="center"/>
    </xf>
    <xf numFmtId="37" fontId="10" fillId="9" borderId="0" xfId="0" applyNumberFormat="1" applyFont="1" applyFill="1" applyAlignment="1">
      <alignment horizontal="center" vertical="center"/>
    </xf>
    <xf numFmtId="44" fontId="10" fillId="9" borderId="3" xfId="0" applyNumberFormat="1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37" fontId="10" fillId="9" borderId="5" xfId="0" applyNumberFormat="1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left" vertical="center"/>
    </xf>
    <xf numFmtId="0" fontId="9" fillId="9" borderId="27" xfId="0" applyFont="1" applyFill="1" applyBorder="1" applyAlignment="1">
      <alignment horizontal="left" vertical="center"/>
    </xf>
    <xf numFmtId="0" fontId="9" fillId="9" borderId="27" xfId="0" applyFont="1" applyFill="1" applyBorder="1" applyAlignment="1">
      <alignment horizontal="center" vertical="center"/>
    </xf>
    <xf numFmtId="37" fontId="10" fillId="9" borderId="27" xfId="0" applyNumberFormat="1" applyFont="1" applyFill="1" applyBorder="1" applyAlignment="1">
      <alignment horizontal="center" vertical="center"/>
    </xf>
    <xf numFmtId="44" fontId="10" fillId="9" borderId="28" xfId="0" applyNumberFormat="1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44" fontId="9" fillId="9" borderId="1" xfId="1" applyFont="1" applyFill="1" applyBorder="1" applyAlignment="1">
      <alignment vertical="center"/>
    </xf>
    <xf numFmtId="44" fontId="9" fillId="9" borderId="4" xfId="1" applyFont="1" applyFill="1" applyBorder="1" applyAlignment="1" applyProtection="1">
      <protection locked="0"/>
    </xf>
    <xf numFmtId="44" fontId="9" fillId="9" borderId="1" xfId="1" applyFont="1" applyFill="1" applyBorder="1" applyAlignment="1"/>
    <xf numFmtId="0" fontId="1" fillId="9" borderId="0" xfId="0" applyFont="1" applyFill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44" fontId="9" fillId="0" borderId="1" xfId="1" applyFont="1" applyFill="1" applyBorder="1" applyAlignment="1"/>
    <xf numFmtId="0" fontId="9" fillId="0" borderId="0" xfId="0" applyFont="1" applyAlignment="1">
      <alignment horizontal="left" vertical="center"/>
    </xf>
    <xf numFmtId="44" fontId="9" fillId="0" borderId="11" xfId="1" applyFont="1" applyFill="1" applyBorder="1" applyAlignment="1">
      <alignment vertical="center"/>
    </xf>
    <xf numFmtId="37" fontId="9" fillId="0" borderId="5" xfId="0" applyNumberFormat="1" applyFont="1" applyBorder="1" applyAlignment="1">
      <alignment horizontal="center" vertical="center"/>
    </xf>
    <xf numFmtId="44" fontId="9" fillId="0" borderId="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8" fillId="0" borderId="0" xfId="1" applyFont="1" applyFill="1" applyAlignment="1">
      <alignment horizontal="center" vertical="center"/>
    </xf>
    <xf numFmtId="9" fontId="18" fillId="0" borderId="0" xfId="4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37" fontId="10" fillId="0" borderId="17" xfId="0" applyNumberFormat="1" applyFont="1" applyBorder="1" applyAlignment="1">
      <alignment horizontal="center" vertical="center"/>
    </xf>
    <xf numFmtId="0" fontId="9" fillId="9" borderId="24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37" fontId="10" fillId="0" borderId="29" xfId="0" applyNumberFormat="1" applyFont="1" applyBorder="1" applyAlignment="1">
      <alignment horizontal="center" vertical="center"/>
    </xf>
    <xf numFmtId="44" fontId="10" fillId="0" borderId="29" xfId="0" applyNumberFormat="1" applyFont="1" applyBorder="1" applyAlignment="1">
      <alignment horizontal="center" vertical="center"/>
    </xf>
    <xf numFmtId="44" fontId="9" fillId="0" borderId="23" xfId="2" applyFont="1" applyFill="1" applyBorder="1" applyAlignment="1">
      <alignment horizontal="right" vertical="center"/>
    </xf>
    <xf numFmtId="0" fontId="20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4" fontId="5" fillId="0" borderId="0" xfId="0" applyNumberFormat="1" applyFont="1" applyAlignment="1">
      <alignment horizontal="left" vertical="center"/>
    </xf>
    <xf numFmtId="0" fontId="20" fillId="0" borderId="29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44" fontId="9" fillId="0" borderId="29" xfId="1" applyFont="1" applyBorder="1" applyAlignment="1">
      <alignment horizontal="right" vertical="center"/>
    </xf>
    <xf numFmtId="0" fontId="19" fillId="0" borderId="29" xfId="0" applyFont="1" applyBorder="1" applyAlignment="1">
      <alignment horizontal="center" vertical="center"/>
    </xf>
    <xf numFmtId="3" fontId="19" fillId="0" borderId="29" xfId="0" applyNumberFormat="1" applyFont="1" applyBorder="1" applyAlignment="1">
      <alignment horizontal="center" vertical="center"/>
    </xf>
    <xf numFmtId="44" fontId="9" fillId="0" borderId="34" xfId="1" applyFont="1" applyBorder="1" applyAlignment="1">
      <alignment horizontal="right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44" fontId="9" fillId="0" borderId="29" xfId="1" applyFont="1" applyFill="1" applyBorder="1" applyAlignment="1">
      <alignment horizontal="right" vertical="center"/>
    </xf>
    <xf numFmtId="44" fontId="9" fillId="0" borderId="29" xfId="2" applyFont="1" applyFill="1" applyBorder="1" applyAlignment="1">
      <alignment horizontal="right" vertical="center"/>
    </xf>
    <xf numFmtId="44" fontId="21" fillId="0" borderId="29" xfId="1" applyFont="1" applyFill="1" applyBorder="1" applyAlignment="1">
      <alignment horizontal="right" vertical="center"/>
    </xf>
    <xf numFmtId="0" fontId="9" fillId="6" borderId="35" xfId="0" applyFont="1" applyFill="1" applyBorder="1" applyAlignment="1">
      <alignment horizontal="left" vertical="center"/>
    </xf>
    <xf numFmtId="44" fontId="11" fillId="6" borderId="36" xfId="0" applyNumberFormat="1" applyFont="1" applyFill="1" applyBorder="1" applyAlignment="1">
      <alignment horizontal="center" vertical="center"/>
    </xf>
    <xf numFmtId="9" fontId="9" fillId="0" borderId="29" xfId="1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right" vertical="center"/>
    </xf>
    <xf numFmtId="0" fontId="10" fillId="0" borderId="32" xfId="0" applyFont="1" applyBorder="1" applyAlignment="1" applyProtection="1">
      <alignment horizontal="center" vertical="center"/>
      <protection locked="0"/>
    </xf>
    <xf numFmtId="44" fontId="10" fillId="0" borderId="32" xfId="0" applyNumberFormat="1" applyFont="1" applyBorder="1" applyAlignment="1">
      <alignment horizontal="center" vertical="center"/>
    </xf>
    <xf numFmtId="44" fontId="11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left" vertical="center"/>
    </xf>
    <xf numFmtId="0" fontId="20" fillId="0" borderId="34" xfId="0" applyFont="1" applyBorder="1" applyAlignment="1">
      <alignment horizontal="center" vertical="center"/>
    </xf>
    <xf numFmtId="0" fontId="20" fillId="0" borderId="29" xfId="0" applyFont="1" applyBorder="1" applyAlignment="1">
      <alignment vertical="center" wrapText="1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4" fontId="8" fillId="6" borderId="29" xfId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 applyProtection="1">
      <alignment horizontal="center" vertical="center"/>
      <protection locked="0"/>
    </xf>
    <xf numFmtId="164" fontId="16" fillId="0" borderId="0" xfId="0" applyNumberFormat="1" applyFont="1" applyAlignment="1" applyProtection="1">
      <alignment horizontal="center" vertical="center"/>
      <protection locked="0"/>
    </xf>
    <xf numFmtId="164" fontId="16" fillId="0" borderId="3" xfId="0" applyNumberFormat="1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</cellXfs>
  <cellStyles count="5">
    <cellStyle name="Currency" xfId="1" builtinId="4"/>
    <cellStyle name="Currency 2" xfId="3" xr:uid="{00000000-0005-0000-0000-000001000000}"/>
    <cellStyle name="Currency 3" xfId="2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00FFFF"/>
      <color rgb="FFCC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F0"/>
  </sheetPr>
  <dimension ref="A1:J187"/>
  <sheetViews>
    <sheetView topLeftCell="A67" zoomScale="90" zoomScaleNormal="90" workbookViewId="0">
      <selection activeCell="I6" sqref="I6"/>
    </sheetView>
  </sheetViews>
  <sheetFormatPr defaultColWidth="9.140625" defaultRowHeight="15.75" x14ac:dyDescent="0.25"/>
  <cols>
    <col min="1" max="1" width="5.42578125" style="2" bestFit="1" customWidth="1"/>
    <col min="2" max="2" width="5.5703125" style="2" bestFit="1" customWidth="1"/>
    <col min="3" max="3" width="48.42578125" style="2" bestFit="1" customWidth="1"/>
    <col min="4" max="4" width="4.85546875" style="1" bestFit="1" customWidth="1"/>
    <col min="5" max="5" width="10" style="12" customWidth="1"/>
    <col min="6" max="6" width="13.7109375" style="9" bestFit="1" customWidth="1"/>
    <col min="7" max="7" width="9.140625" style="17" hidden="1" customWidth="1"/>
    <col min="8" max="8" width="1.7109375" style="1" customWidth="1"/>
    <col min="9" max="9" width="12.7109375" style="55" bestFit="1" customWidth="1"/>
    <col min="10" max="10" width="9.140625" style="57"/>
    <col min="11" max="16384" width="9.140625" style="1"/>
  </cols>
  <sheetData>
    <row r="1" spans="1:10" ht="12" customHeight="1" x14ac:dyDescent="0.25">
      <c r="A1" s="189" t="s">
        <v>349</v>
      </c>
      <c r="B1" s="171"/>
      <c r="C1" s="171"/>
      <c r="D1" s="171"/>
      <c r="E1" s="171"/>
      <c r="F1" s="172"/>
      <c r="G1" s="188" t="s">
        <v>11</v>
      </c>
    </row>
    <row r="2" spans="1:10" ht="12" customHeight="1" x14ac:dyDescent="0.25">
      <c r="A2" s="190" t="s">
        <v>341</v>
      </c>
      <c r="B2" s="173"/>
      <c r="C2" s="173"/>
      <c r="D2" s="173"/>
      <c r="E2" s="173"/>
      <c r="F2" s="174"/>
      <c r="G2" s="188"/>
    </row>
    <row r="3" spans="1:10" ht="12" customHeight="1" thickBot="1" x14ac:dyDescent="0.3">
      <c r="A3" s="191"/>
      <c r="B3" s="192"/>
      <c r="C3" s="192"/>
      <c r="D3" s="192"/>
      <c r="E3" s="192"/>
      <c r="F3" s="193"/>
      <c r="G3" s="188"/>
    </row>
    <row r="4" spans="1:10" s="5" customFormat="1" ht="12" customHeight="1" thickBot="1" x14ac:dyDescent="0.3">
      <c r="A4" s="13" t="s">
        <v>0</v>
      </c>
      <c r="B4" s="13" t="s">
        <v>1</v>
      </c>
      <c r="C4" s="14" t="s">
        <v>10</v>
      </c>
      <c r="D4" s="14" t="s">
        <v>2</v>
      </c>
      <c r="E4" s="16" t="s">
        <v>3</v>
      </c>
      <c r="F4" s="15" t="s">
        <v>4</v>
      </c>
      <c r="G4" s="188"/>
      <c r="I4" s="56" t="s">
        <v>351</v>
      </c>
      <c r="J4" s="58"/>
    </row>
    <row r="5" spans="1:10" s="5" customFormat="1" ht="12" customHeight="1" x14ac:dyDescent="0.25">
      <c r="A5" s="194" t="s">
        <v>12</v>
      </c>
      <c r="B5" s="177"/>
      <c r="C5" s="177"/>
      <c r="D5" s="177"/>
      <c r="E5" s="177"/>
      <c r="F5" s="178"/>
      <c r="G5" s="18"/>
      <c r="I5" s="56"/>
      <c r="J5" s="58"/>
    </row>
    <row r="6" spans="1:10" s="5" customFormat="1" ht="12" customHeight="1" x14ac:dyDescent="0.25">
      <c r="A6" s="31" t="s">
        <v>234</v>
      </c>
      <c r="B6" s="19" t="s">
        <v>369</v>
      </c>
      <c r="C6" s="19" t="str">
        <f>'Ordering Period Prices'!B6</f>
        <v>REPAIR 3" HMA PAVEMENT (500-5,000 SY)</v>
      </c>
      <c r="D6" s="20" t="str">
        <f>'Ordering Period Prices'!C6</f>
        <v>SY</v>
      </c>
      <c r="E6" s="38" t="e">
        <f>SUM(#REF!+#REF!+#REF!+#REF!+#REF!)</f>
        <v>#REF!</v>
      </c>
      <c r="F6" s="21" t="e">
        <f>SUM(#REF!+#REF!+#REF!+#REF!+#REF!)</f>
        <v>#REF!</v>
      </c>
      <c r="G6" s="17" t="e">
        <f>SUM(#REF!,#REF!,#REF!,#REF!,#REF!,#REF!)</f>
        <v>#REF!</v>
      </c>
      <c r="I6" s="56">
        <v>124764.69153499999</v>
      </c>
      <c r="J6" s="58" t="e">
        <f t="shared" ref="J6:J40" si="0">F6/I6</f>
        <v>#REF!</v>
      </c>
    </row>
    <row r="7" spans="1:10" s="5" customFormat="1" ht="12" customHeight="1" x14ac:dyDescent="0.25">
      <c r="A7" s="31" t="s">
        <v>235</v>
      </c>
      <c r="B7" s="19" t="s">
        <v>369</v>
      </c>
      <c r="C7" s="19" t="str">
        <f>'Ordering Period Prices'!B7</f>
        <v>REPAIR 3" HMA PAVEMENT(5,000+ SY)</v>
      </c>
      <c r="D7" s="20" t="str">
        <f>'Ordering Period Prices'!C7</f>
        <v>SY</v>
      </c>
      <c r="E7" s="38" t="e">
        <f>SUM(#REF!+#REF!+#REF!+#REF!+#REF!)</f>
        <v>#REF!</v>
      </c>
      <c r="F7" s="21" t="e">
        <f>SUM(#REF!+#REF!+#REF!+#REF!+#REF!)</f>
        <v>#REF!</v>
      </c>
      <c r="G7" s="17" t="e">
        <f>SUM(#REF!,#REF!,#REF!,#REF!,#REF!,#REF!)</f>
        <v>#REF!</v>
      </c>
      <c r="I7" s="56">
        <v>849461.72960000008</v>
      </c>
      <c r="J7" s="58" t="e">
        <f t="shared" si="0"/>
        <v>#REF!</v>
      </c>
    </row>
    <row r="8" spans="1:10" s="5" customFormat="1" ht="12" customHeight="1" x14ac:dyDescent="0.25">
      <c r="A8" s="31" t="s">
        <v>236</v>
      </c>
      <c r="B8" s="19" t="s">
        <v>370</v>
      </c>
      <c r="C8" s="19" t="str">
        <f>'Ordering Period Prices'!B8</f>
        <v>REPAIR 4" HMA PAVEMENT (500-5,000 SY )</v>
      </c>
      <c r="D8" s="20" t="str">
        <f>'Ordering Period Prices'!C8</f>
        <v>SY</v>
      </c>
      <c r="E8" s="38" t="e">
        <f>SUM(#REF!+#REF!+#REF!+#REF!+#REF!)</f>
        <v>#REF!</v>
      </c>
      <c r="F8" s="21" t="e">
        <f>SUM(#REF!+#REF!+#REF!+#REF!+#REF!)</f>
        <v>#REF!</v>
      </c>
      <c r="G8" s="17" t="e">
        <f>SUM(#REF!,#REF!,#REF!,#REF!,#REF!,#REF!)</f>
        <v>#REF!</v>
      </c>
      <c r="I8" s="56">
        <v>138037.53106000001</v>
      </c>
      <c r="J8" s="58" t="e">
        <f t="shared" si="0"/>
        <v>#REF!</v>
      </c>
    </row>
    <row r="9" spans="1:10" s="5" customFormat="1" ht="12" customHeight="1" x14ac:dyDescent="0.25">
      <c r="A9" s="31" t="s">
        <v>237</v>
      </c>
      <c r="B9" s="19" t="s">
        <v>370</v>
      </c>
      <c r="C9" s="19" t="str">
        <f>'Ordering Period Prices'!B9</f>
        <v>REPAIR 4" HMA PAVEMENT (5,000+ SY )</v>
      </c>
      <c r="D9" s="20" t="str">
        <f>'Ordering Period Prices'!C9</f>
        <v>SY</v>
      </c>
      <c r="E9" s="38" t="e">
        <f>SUM(#REF!+#REF!+#REF!+#REF!+#REF!)</f>
        <v>#REF!</v>
      </c>
      <c r="F9" s="21" t="e">
        <f>SUM(#REF!+#REF!+#REF!+#REF!+#REF!)</f>
        <v>#REF!</v>
      </c>
      <c r="G9" s="17" t="e">
        <f>SUM(#REF!,#REF!,#REF!,#REF!,#REF!,#REF!)</f>
        <v>#REF!</v>
      </c>
      <c r="I9" s="56">
        <v>1061827.162</v>
      </c>
      <c r="J9" s="58" t="e">
        <f t="shared" si="0"/>
        <v>#REF!</v>
      </c>
    </row>
    <row r="10" spans="1:10" s="5" customFormat="1" ht="12" customHeight="1" x14ac:dyDescent="0.25">
      <c r="A10" s="31" t="s">
        <v>238</v>
      </c>
      <c r="B10" s="19" t="s">
        <v>371</v>
      </c>
      <c r="C10" s="19" t="str">
        <f>'Ordering Period Prices'!B10</f>
        <v>REPAIR 6" HMA PAVEMENT ( 500-5,000 SY)</v>
      </c>
      <c r="D10" s="20" t="str">
        <f>'Ordering Period Prices'!C10</f>
        <v>SY</v>
      </c>
      <c r="E10" s="38" t="e">
        <f>SUM(#REF!+#REF!+#REF!+#REF!+#REF!)</f>
        <v>#REF!</v>
      </c>
      <c r="F10" s="21" t="e">
        <f>SUM(#REF!+#REF!+#REF!+#REF!+#REF!)</f>
        <v>#REF!</v>
      </c>
      <c r="G10" s="17" t="e">
        <f>SUM(#REF!,#REF!,#REF!,#REF!,#REF!,#REF!)</f>
        <v>#REF!</v>
      </c>
      <c r="I10" s="56">
        <v>159274.07429999998</v>
      </c>
      <c r="J10" s="58" t="e">
        <f t="shared" si="0"/>
        <v>#REF!</v>
      </c>
    </row>
    <row r="11" spans="1:10" s="5" customFormat="1" ht="12" customHeight="1" x14ac:dyDescent="0.25">
      <c r="A11" s="31" t="s">
        <v>239</v>
      </c>
      <c r="B11" s="19" t="s">
        <v>371</v>
      </c>
      <c r="C11" s="19" t="str">
        <f>'Ordering Period Prices'!B11</f>
        <v>REPAIR 6" HMA PAVEMENT (5,000 + SY)</v>
      </c>
      <c r="D11" s="20" t="str">
        <f>'Ordering Period Prices'!C11</f>
        <v>SY</v>
      </c>
      <c r="E11" s="38" t="e">
        <f>SUM(#REF!+#REF!+#REF!+#REF!+#REF!)</f>
        <v>#REF!</v>
      </c>
      <c r="F11" s="21" t="e">
        <f>SUM(#REF!+#REF!+#REF!+#REF!+#REF!)</f>
        <v>#REF!</v>
      </c>
      <c r="G11" s="17" t="e">
        <f>SUM(#REF!,#REF!,#REF!,#REF!,#REF!,#REF!)</f>
        <v>#REF!</v>
      </c>
      <c r="I11" s="56">
        <v>1274192.5944000001</v>
      </c>
      <c r="J11" s="58" t="e">
        <f t="shared" si="0"/>
        <v>#REF!</v>
      </c>
    </row>
    <row r="12" spans="1:10" s="5" customFormat="1" ht="12" customHeight="1" x14ac:dyDescent="0.25">
      <c r="A12" s="31" t="s">
        <v>240</v>
      </c>
      <c r="B12" s="19" t="s">
        <v>372</v>
      </c>
      <c r="C12" s="19" t="str">
        <f>'Ordering Period Prices'!B12</f>
        <v>RPR PRIMARY AIRFIELD HMA PAVEMENT (3,000+ SY)</v>
      </c>
      <c r="D12" s="20" t="str">
        <f>'Ordering Period Prices'!C12</f>
        <v>SY</v>
      </c>
      <c r="E12" s="38" t="e">
        <f>SUM(#REF!+#REF!+#REF!+#REF!+#REF!)</f>
        <v>#REF!</v>
      </c>
      <c r="F12" s="21" t="e">
        <f>SUM(#REF!+#REF!+#REF!+#REF!+#REF!)</f>
        <v>#REF!</v>
      </c>
      <c r="G12" s="17" t="e">
        <f>SUM(#REF!,#REF!,#REF!,#REF!,#REF!,#REF!)</f>
        <v>#REF!</v>
      </c>
      <c r="I12" s="56">
        <v>1035281.48295</v>
      </c>
      <c r="J12" s="58" t="e">
        <f t="shared" si="0"/>
        <v>#REF!</v>
      </c>
    </row>
    <row r="13" spans="1:10" s="5" customFormat="1" ht="12" customHeight="1" x14ac:dyDescent="0.25">
      <c r="A13" s="31" t="s">
        <v>241</v>
      </c>
      <c r="B13" s="19" t="s">
        <v>373</v>
      </c>
      <c r="C13" s="19" t="str">
        <f>'Ordering Period Prices'!B13</f>
        <v>PATCH HMA PAVEMENT (100-500 SF)</v>
      </c>
      <c r="D13" s="20" t="str">
        <f>'Ordering Period Prices'!C13</f>
        <v>SF</v>
      </c>
      <c r="E13" s="38" t="e">
        <f>SUM(#REF!+#REF!+#REF!+#REF!+#REF!)</f>
        <v>#REF!</v>
      </c>
      <c r="F13" s="21" t="e">
        <f>SUM(#REF!+#REF!+#REF!+#REF!+#REF!)</f>
        <v>#REF!</v>
      </c>
      <c r="G13" s="17" t="e">
        <f>SUM(#REF!,#REF!,#REF!,#REF!,#REF!,#REF!)</f>
        <v>#REF!</v>
      </c>
      <c r="H13" s="10"/>
      <c r="I13" s="56">
        <v>47782.222289999998</v>
      </c>
      <c r="J13" s="58" t="e">
        <f t="shared" si="0"/>
        <v>#REF!</v>
      </c>
    </row>
    <row r="14" spans="1:10" s="5" customFormat="1" ht="12" customHeight="1" x14ac:dyDescent="0.25">
      <c r="A14" s="31" t="s">
        <v>242</v>
      </c>
      <c r="B14" s="19" t="s">
        <v>373</v>
      </c>
      <c r="C14" s="19" t="str">
        <f>'Ordering Period Prices'!B14</f>
        <v>PATCH HMA PAVEMENT (500+ SF)</v>
      </c>
      <c r="D14" s="20" t="str">
        <f>'Ordering Period Prices'!C14</f>
        <v>SF</v>
      </c>
      <c r="E14" s="38" t="e">
        <f>SUM(#REF!+#REF!+#REF!+#REF!+#REF!)</f>
        <v>#REF!</v>
      </c>
      <c r="F14" s="21" t="e">
        <f>SUM(#REF!+#REF!+#REF!+#REF!+#REF!)</f>
        <v>#REF!</v>
      </c>
      <c r="G14" s="17" t="e">
        <f>SUM(#REF!,#REF!,#REF!,#REF!,#REF!,#REF!)</f>
        <v>#REF!</v>
      </c>
      <c r="I14" s="56">
        <v>119455.555725</v>
      </c>
      <c r="J14" s="58" t="e">
        <f t="shared" si="0"/>
        <v>#REF!</v>
      </c>
    </row>
    <row r="15" spans="1:10" s="5" customFormat="1" ht="12" customHeight="1" x14ac:dyDescent="0.25">
      <c r="A15" s="31" t="s">
        <v>244</v>
      </c>
      <c r="B15" s="19" t="s">
        <v>374</v>
      </c>
      <c r="C15" s="19" t="str">
        <f>'Ordering Period Prices'!B15</f>
        <v>OVERLAY 2" HMA PAVEMENT (2,000+ SY)</v>
      </c>
      <c r="D15" s="20" t="str">
        <f>'Ordering Period Prices'!C15</f>
        <v>SY</v>
      </c>
      <c r="E15" s="38" t="e">
        <f>SUM(#REF!+#REF!+#REF!+#REF!+#REF!)</f>
        <v>#REF!</v>
      </c>
      <c r="F15" s="21" t="e">
        <f>SUM(#REF!+#REF!+#REF!+#REF!+#REF!)</f>
        <v>#REF!</v>
      </c>
      <c r="G15" s="17" t="e">
        <f>SUM(#REF!,#REF!,#REF!,#REF!,#REF!,#REF!)</f>
        <v>#REF!</v>
      </c>
      <c r="I15" s="56">
        <v>159274.07429999998</v>
      </c>
      <c r="J15" s="58" t="e">
        <f t="shared" si="0"/>
        <v>#REF!</v>
      </c>
    </row>
    <row r="16" spans="1:10" s="5" customFormat="1" ht="12" customHeight="1" x14ac:dyDescent="0.25">
      <c r="A16" s="31" t="s">
        <v>243</v>
      </c>
      <c r="B16" s="19" t="s">
        <v>375</v>
      </c>
      <c r="C16" s="19" t="str">
        <f>'Ordering Period Prices'!B16</f>
        <v>OVERLAY 2" HMA AIRFIELD PAVEMENT (2,000+ SY)</v>
      </c>
      <c r="D16" s="20" t="str">
        <f>'Ordering Period Prices'!C16</f>
        <v>SY</v>
      </c>
      <c r="E16" s="38" t="e">
        <f>SUM(#REF!+#REF!+#REF!+#REF!+#REF!)</f>
        <v>#REF!</v>
      </c>
      <c r="F16" s="21" t="e">
        <f>SUM(#REF!+#REF!+#REF!+#REF!+#REF!)</f>
        <v>#REF!</v>
      </c>
      <c r="G16" s="17" t="e">
        <f>SUM(#REF!,#REF!,#REF!,#REF!,#REF!,#REF!)</f>
        <v>#REF!</v>
      </c>
      <c r="I16" s="56">
        <v>180510.61754000004</v>
      </c>
      <c r="J16" s="58" t="e">
        <f t="shared" si="0"/>
        <v>#REF!</v>
      </c>
    </row>
    <row r="17" spans="1:10" s="5" customFormat="1" ht="12" customHeight="1" x14ac:dyDescent="0.25">
      <c r="A17" s="31" t="s">
        <v>245</v>
      </c>
      <c r="B17" s="19" t="s">
        <v>376</v>
      </c>
      <c r="C17" s="19" t="str">
        <f>'Ordering Period Prices'!B17</f>
        <v>REMOVE 2"-7" HMA PAVEMENT</v>
      </c>
      <c r="D17" s="20" t="str">
        <f>'Ordering Period Prices'!C17</f>
        <v>SY</v>
      </c>
      <c r="E17" s="38" t="e">
        <f>SUM(#REF!+#REF!+#REF!+#REF!+#REF!)</f>
        <v>#REF!</v>
      </c>
      <c r="F17" s="21" t="e">
        <f>SUM(#REF!+#REF!+#REF!+#REF!+#REF!)</f>
        <v>#REF!</v>
      </c>
      <c r="G17" s="17" t="e">
        <f>SUM(#REF!,#REF!,#REF!,#REF!,#REF!,#REF!)</f>
        <v>#REF!</v>
      </c>
      <c r="I17" s="56">
        <v>26545.679050000002</v>
      </c>
      <c r="J17" s="58" t="e">
        <f t="shared" si="0"/>
        <v>#REF!</v>
      </c>
    </row>
    <row r="18" spans="1:10" s="5" customFormat="1" ht="12" customHeight="1" x14ac:dyDescent="0.25">
      <c r="A18" s="31" t="s">
        <v>246</v>
      </c>
      <c r="B18" s="19" t="s">
        <v>377</v>
      </c>
      <c r="C18" s="19" t="str">
        <f>'Ordering Period Prices'!B18</f>
        <v>REMOVE/REPLACE 3" HMA PAVEMENT (1,000-5,000 SY)</v>
      </c>
      <c r="D18" s="20" t="str">
        <f>'Ordering Period Prices'!C18</f>
        <v>SY</v>
      </c>
      <c r="E18" s="38" t="e">
        <f>SUM(#REF!+#REF!+#REF!+#REF!+#REF!)</f>
        <v>#REF!</v>
      </c>
      <c r="F18" s="21" t="e">
        <f>SUM(#REF!+#REF!+#REF!+#REF!+#REF!)</f>
        <v>#REF!</v>
      </c>
      <c r="G18" s="17" t="e">
        <f>SUM(#REF!,#REF!,#REF!,#REF!,#REF!,#REF!)</f>
        <v>#REF!</v>
      </c>
      <c r="I18" s="56">
        <v>122110.12363</v>
      </c>
      <c r="J18" s="58" t="e">
        <f t="shared" si="0"/>
        <v>#REF!</v>
      </c>
    </row>
    <row r="19" spans="1:10" s="5" customFormat="1" ht="12" customHeight="1" x14ac:dyDescent="0.25">
      <c r="A19" s="31" t="s">
        <v>247</v>
      </c>
      <c r="B19" s="19" t="s">
        <v>377</v>
      </c>
      <c r="C19" s="19" t="str">
        <f>'Ordering Period Prices'!B19</f>
        <v>REMOVE/REPLACE 3" HMA PAVEMENT (5,000+ SY)</v>
      </c>
      <c r="D19" s="20" t="str">
        <f>'Ordering Period Prices'!C19</f>
        <v>SY</v>
      </c>
      <c r="E19" s="38" t="e">
        <f>SUM(#REF!+#REF!+#REF!+#REF!+#REF!)</f>
        <v>#REF!</v>
      </c>
      <c r="F19" s="21" t="e">
        <f>SUM(#REF!+#REF!+#REF!+#REF!+#REF!)</f>
        <v>#REF!</v>
      </c>
      <c r="G19" s="17" t="e">
        <f>SUM(#REF!,#REF!,#REF!,#REF!,#REF!,#REF!)</f>
        <v>#REF!</v>
      </c>
      <c r="I19" s="56">
        <v>557459.26005000004</v>
      </c>
      <c r="J19" s="58" t="e">
        <f t="shared" si="0"/>
        <v>#REF!</v>
      </c>
    </row>
    <row r="20" spans="1:10" s="5" customFormat="1" ht="12" customHeight="1" x14ac:dyDescent="0.25">
      <c r="A20" s="31" t="s">
        <v>248</v>
      </c>
      <c r="B20" s="19" t="s">
        <v>378</v>
      </c>
      <c r="C20" s="19" t="str">
        <f>'Ordering Period Prices'!B20</f>
        <v>CONSTRUCT 3" HMA (1,000-5,000 SY)</v>
      </c>
      <c r="D20" s="20" t="str">
        <f>'Ordering Period Prices'!C20</f>
        <v>SY</v>
      </c>
      <c r="E20" s="38" t="e">
        <f>SUM(#REF!+#REF!+#REF!+#REF!+#REF!)</f>
        <v>#REF!</v>
      </c>
      <c r="F20" s="21" t="e">
        <f>SUM(#REF!+#REF!+#REF!+#REF!+#REF!)</f>
        <v>#REF!</v>
      </c>
      <c r="G20" s="17" t="e">
        <f>SUM(#REF!,#REF!,#REF!,#REF!,#REF!,#REF!)</f>
        <v>#REF!</v>
      </c>
      <c r="I20" s="56">
        <v>95564.444579999996</v>
      </c>
      <c r="J20" s="58" t="e">
        <f t="shared" si="0"/>
        <v>#REF!</v>
      </c>
    </row>
    <row r="21" spans="1:10" s="5" customFormat="1" ht="12" customHeight="1" x14ac:dyDescent="0.25">
      <c r="A21" s="31" t="s">
        <v>249</v>
      </c>
      <c r="B21" s="19" t="s">
        <v>378</v>
      </c>
      <c r="C21" s="19" t="str">
        <f>'Ordering Period Prices'!B21</f>
        <v>CONSTRUCT 3" HMA (5,000+ SY)</v>
      </c>
      <c r="D21" s="20" t="str">
        <f>'Ordering Period Prices'!C21</f>
        <v>SY</v>
      </c>
      <c r="E21" s="38" t="e">
        <f>SUM(#REF!+#REF!+#REF!+#REF!+#REF!)</f>
        <v>#REF!</v>
      </c>
      <c r="F21" s="21" t="e">
        <f>SUM(#REF!+#REF!+#REF!+#REF!+#REF!)</f>
        <v>#REF!</v>
      </c>
      <c r="G21" s="17" t="e">
        <f>SUM(#REF!,#REF!,#REF!,#REF!,#REF!,#REF!)</f>
        <v>#REF!</v>
      </c>
      <c r="I21" s="56">
        <v>398185.18575</v>
      </c>
      <c r="J21" s="58" t="e">
        <f t="shared" si="0"/>
        <v>#REF!</v>
      </c>
    </row>
    <row r="22" spans="1:10" s="5" customFormat="1" ht="12" customHeight="1" x14ac:dyDescent="0.25">
      <c r="A22" s="31" t="s">
        <v>250</v>
      </c>
      <c r="B22" s="19" t="s">
        <v>379</v>
      </c>
      <c r="C22" s="19" t="str">
        <f>'Ordering Period Prices'!B22</f>
        <v>CONSTRUCT 4" HMA (1,000-5000 SY)</v>
      </c>
      <c r="D22" s="20" t="str">
        <f>'Ordering Period Prices'!C22</f>
        <v>SY</v>
      </c>
      <c r="E22" s="38" t="e">
        <f>SUM(#REF!+#REF!+#REF!+#REF!+#REF!)</f>
        <v>#REF!</v>
      </c>
      <c r="F22" s="21" t="e">
        <f>SUM(#REF!+#REF!+#REF!+#REF!+#REF!)</f>
        <v>#REF!</v>
      </c>
      <c r="G22" s="17" t="e">
        <f>SUM(#REF!,#REF!,#REF!,#REF!,#REF!,#REF!)</f>
        <v>#REF!</v>
      </c>
      <c r="I22" s="56">
        <v>132728.39525</v>
      </c>
      <c r="J22" s="58" t="e">
        <f t="shared" si="0"/>
        <v>#REF!</v>
      </c>
    </row>
    <row r="23" spans="1:10" s="5" customFormat="1" ht="12" customHeight="1" x14ac:dyDescent="0.25">
      <c r="A23" s="31" t="s">
        <v>251</v>
      </c>
      <c r="B23" s="19" t="s">
        <v>379</v>
      </c>
      <c r="C23" s="19" t="str">
        <f>'Ordering Period Prices'!B23</f>
        <v>CONSTRUCT 4" HMA (5,000+ SY)</v>
      </c>
      <c r="D23" s="20" t="str">
        <f>'Ordering Period Prices'!C23</f>
        <v>SY</v>
      </c>
      <c r="E23" s="38" t="e">
        <f>SUM(#REF!+#REF!+#REF!+#REF!+#REF!)</f>
        <v>#REF!</v>
      </c>
      <c r="F23" s="21" t="e">
        <f>SUM(#REF!+#REF!+#REF!+#REF!+#REF!)</f>
        <v>#REF!</v>
      </c>
      <c r="G23" s="17" t="e">
        <f>SUM(#REF!,#REF!,#REF!,#REF!,#REF!,#REF!)</f>
        <v>#REF!</v>
      </c>
      <c r="I23" s="56">
        <v>530913.58100000001</v>
      </c>
      <c r="J23" s="58" t="e">
        <f t="shared" si="0"/>
        <v>#REF!</v>
      </c>
    </row>
    <row r="24" spans="1:10" s="5" customFormat="1" ht="12" customHeight="1" x14ac:dyDescent="0.25">
      <c r="A24" s="31" t="s">
        <v>252</v>
      </c>
      <c r="B24" s="19" t="s">
        <v>380</v>
      </c>
      <c r="C24" s="19" t="str">
        <f>'Ordering Period Prices'!B24</f>
        <v>CONSTRUCT 6" HMA (1,000-5,000)</v>
      </c>
      <c r="D24" s="20" t="str">
        <f>'Ordering Period Prices'!C24</f>
        <v>SY</v>
      </c>
      <c r="E24" s="38" t="e">
        <f>SUM(#REF!+#REF!+#REF!+#REF!+#REF!)</f>
        <v>#REF!</v>
      </c>
      <c r="F24" s="21" t="e">
        <f>SUM(#REF!+#REF!+#REF!+#REF!+#REF!)</f>
        <v>#REF!</v>
      </c>
      <c r="G24" s="17" t="e">
        <f>SUM(#REF!,#REF!,#REF!,#REF!,#REF!,#REF!)</f>
        <v>#REF!</v>
      </c>
      <c r="I24" s="56">
        <v>185819.75335000001</v>
      </c>
      <c r="J24" s="58" t="e">
        <f t="shared" si="0"/>
        <v>#REF!</v>
      </c>
    </row>
    <row r="25" spans="1:10" s="5" customFormat="1" ht="12" customHeight="1" x14ac:dyDescent="0.25">
      <c r="A25" s="31" t="s">
        <v>253</v>
      </c>
      <c r="B25" s="19" t="s">
        <v>380</v>
      </c>
      <c r="C25" s="19" t="str">
        <f>'Ordering Period Prices'!B25</f>
        <v>CONSTRUCT 6" HMA (5,000+)</v>
      </c>
      <c r="D25" s="20" t="str">
        <f>'Ordering Period Prices'!C25</f>
        <v>SY</v>
      </c>
      <c r="E25" s="38" t="e">
        <f>SUM(#REF!+#REF!+#REF!+#REF!+#REF!)</f>
        <v>#REF!</v>
      </c>
      <c r="F25" s="21" t="e">
        <f>SUM(#REF!+#REF!+#REF!+#REF!+#REF!)</f>
        <v>#REF!</v>
      </c>
      <c r="G25" s="17" t="e">
        <f>SUM(#REF!,#REF!,#REF!,#REF!,#REF!,#REF!)</f>
        <v>#REF!</v>
      </c>
      <c r="I25" s="56">
        <v>796370.37150000001</v>
      </c>
      <c r="J25" s="58" t="e">
        <f t="shared" si="0"/>
        <v>#REF!</v>
      </c>
    </row>
    <row r="26" spans="1:10" s="5" customFormat="1" ht="12" customHeight="1" x14ac:dyDescent="0.25">
      <c r="A26" s="31" t="s">
        <v>254</v>
      </c>
      <c r="B26" s="19" t="s">
        <v>381</v>
      </c>
      <c r="C26" s="19" t="str">
        <f>'Ordering Period Prices'!B26</f>
        <v>INSTALL FILL MATERIAL (100-500 CY)</v>
      </c>
      <c r="D26" s="20" t="str">
        <f>'Ordering Period Prices'!C26</f>
        <v>CY</v>
      </c>
      <c r="E26" s="38" t="e">
        <f>SUM(#REF!+#REF!+#REF!+#REF!+#REF!)</f>
        <v>#REF!</v>
      </c>
      <c r="F26" s="21" t="e">
        <f>SUM(#REF!+#REF!+#REF!+#REF!+#REF!)</f>
        <v>#REF!</v>
      </c>
      <c r="G26" s="17" t="e">
        <f>SUM(#REF!,#REF!,#REF!,#REF!,#REF!,#REF!)</f>
        <v>#REF!</v>
      </c>
      <c r="I26" s="56">
        <v>34509.382765000002</v>
      </c>
      <c r="J26" s="58" t="e">
        <f t="shared" si="0"/>
        <v>#REF!</v>
      </c>
    </row>
    <row r="27" spans="1:10" s="5" customFormat="1" ht="12" customHeight="1" x14ac:dyDescent="0.25">
      <c r="A27" s="31" t="s">
        <v>255</v>
      </c>
      <c r="B27" s="19" t="s">
        <v>381</v>
      </c>
      <c r="C27" s="19" t="str">
        <f>'Ordering Period Prices'!B27</f>
        <v>INSTALL FILL MATERIAL (500+ CY)</v>
      </c>
      <c r="D27" s="20" t="str">
        <f>'Ordering Period Prices'!C27</f>
        <v>CY</v>
      </c>
      <c r="E27" s="38" t="e">
        <f>SUM(#REF!+#REF!+#REF!+#REF!+#REF!)</f>
        <v>#REF!</v>
      </c>
      <c r="F27" s="21" t="e">
        <f>SUM(#REF!+#REF!+#REF!+#REF!+#REF!)</f>
        <v>#REF!</v>
      </c>
      <c r="G27" s="17" t="e">
        <f>SUM(#REF!,#REF!,#REF!,#REF!,#REF!,#REF!)</f>
        <v>#REF!</v>
      </c>
      <c r="I27" s="56">
        <v>119455.555725</v>
      </c>
      <c r="J27" s="58" t="e">
        <f t="shared" si="0"/>
        <v>#REF!</v>
      </c>
    </row>
    <row r="28" spans="1:10" s="5" customFormat="1" ht="12" customHeight="1" x14ac:dyDescent="0.25">
      <c r="A28" s="31" t="s">
        <v>256</v>
      </c>
      <c r="B28" s="19" t="s">
        <v>382</v>
      </c>
      <c r="C28" s="19" t="str">
        <f>'Ordering Period Prices'!B28</f>
        <v>INSTALL SUBBASE (500-2000 SY)</v>
      </c>
      <c r="D28" s="20" t="str">
        <f>'Ordering Period Prices'!C28</f>
        <v>SY</v>
      </c>
      <c r="E28" s="38" t="e">
        <f>SUM(#REF!+#REF!+#REF!+#REF!+#REF!)</f>
        <v>#REF!</v>
      </c>
      <c r="F28" s="21" t="e">
        <f>SUM(#REF!+#REF!+#REF!+#REF!+#REF!)</f>
        <v>#REF!</v>
      </c>
      <c r="G28" s="17" t="e">
        <f>SUM(#REF!,#REF!,#REF!,#REF!,#REF!,#REF!)</f>
        <v>#REF!</v>
      </c>
      <c r="I28" s="56">
        <v>26545.679050000002</v>
      </c>
      <c r="J28" s="58" t="e">
        <f t="shared" si="0"/>
        <v>#REF!</v>
      </c>
    </row>
    <row r="29" spans="1:10" s="5" customFormat="1" ht="12" customHeight="1" x14ac:dyDescent="0.25">
      <c r="A29" s="31" t="s">
        <v>257</v>
      </c>
      <c r="B29" s="19" t="s">
        <v>382</v>
      </c>
      <c r="C29" s="19" t="str">
        <f>'Ordering Period Prices'!B29</f>
        <v>INSTALL SUBBASE (2,000+ SY)</v>
      </c>
      <c r="D29" s="20" t="str">
        <f>'Ordering Period Prices'!C29</f>
        <v>SY</v>
      </c>
      <c r="E29" s="38" t="e">
        <f>SUM(#REF!+#REF!+#REF!+#REF!+#REF!)</f>
        <v>#REF!</v>
      </c>
      <c r="F29" s="21" t="e">
        <f>SUM(#REF!+#REF!+#REF!+#REF!+#REF!)</f>
        <v>#REF!</v>
      </c>
      <c r="G29" s="17" t="e">
        <f>SUM(#REF!,#REF!,#REF!,#REF!,#REF!,#REF!)</f>
        <v>#REF!</v>
      </c>
      <c r="I29" s="56">
        <v>84946.172959999996</v>
      </c>
      <c r="J29" s="58" t="e">
        <f t="shared" si="0"/>
        <v>#REF!</v>
      </c>
    </row>
    <row r="30" spans="1:10" s="5" customFormat="1" ht="12" customHeight="1" x14ac:dyDescent="0.25">
      <c r="A30" s="31" t="s">
        <v>258</v>
      </c>
      <c r="B30" s="19" t="s">
        <v>383</v>
      </c>
      <c r="C30" s="19" t="str">
        <f>'Ordering Period Prices'!B30</f>
        <v>SAWCUT ASPHALT PAVEMENT</v>
      </c>
      <c r="D30" s="20" t="str">
        <f>'Ordering Period Prices'!C30</f>
        <v>LF</v>
      </c>
      <c r="E30" s="38" t="e">
        <f>SUM(#REF!+#REF!+#REF!+#REF!+#REF!)</f>
        <v>#REF!</v>
      </c>
      <c r="F30" s="21" t="e">
        <f>SUM(#REF!+#REF!+#REF!+#REF!+#REF!)</f>
        <v>#REF!</v>
      </c>
      <c r="G30" s="17" t="e">
        <f>SUM(#REF!,#REF!,#REF!,#REF!,#REF!,#REF!)</f>
        <v>#REF!</v>
      </c>
      <c r="I30" s="56">
        <v>6636.4197625000006</v>
      </c>
      <c r="J30" s="58" t="e">
        <f t="shared" si="0"/>
        <v>#REF!</v>
      </c>
    </row>
    <row r="31" spans="1:10" s="5" customFormat="1" ht="12" customHeight="1" x14ac:dyDescent="0.25">
      <c r="A31" s="31" t="s">
        <v>259</v>
      </c>
      <c r="B31" s="19" t="s">
        <v>384</v>
      </c>
      <c r="C31" s="19" t="str">
        <f>'Ordering Period Prices'!B31</f>
        <v xml:space="preserve">ROUT &amp; SEAL CRACKS </v>
      </c>
      <c r="D31" s="20" t="str">
        <f>'Ordering Period Prices'!C31</f>
        <v>LF</v>
      </c>
      <c r="E31" s="38" t="e">
        <f>SUM(#REF!+#REF!+#REF!+#REF!+#REF!)</f>
        <v>#REF!</v>
      </c>
      <c r="F31" s="21" t="e">
        <f>SUM(#REF!+#REF!+#REF!+#REF!+#REF!)</f>
        <v>#REF!</v>
      </c>
      <c r="G31" s="17" t="e">
        <f>SUM(#REF!,#REF!,#REF!,#REF!,#REF!,#REF!)</f>
        <v>#REF!</v>
      </c>
      <c r="I31" s="59">
        <v>1659.1049406250002</v>
      </c>
      <c r="J31" s="60" t="e">
        <f t="shared" si="0"/>
        <v>#REF!</v>
      </c>
    </row>
    <row r="32" spans="1:10" s="5" customFormat="1" ht="12" customHeight="1" x14ac:dyDescent="0.25">
      <c r="A32" s="31" t="s">
        <v>260</v>
      </c>
      <c r="B32" s="19" t="s">
        <v>385</v>
      </c>
      <c r="C32" s="19" t="str">
        <f>'Ordering Period Prices'!B32</f>
        <v>SEAL CRACKS</v>
      </c>
      <c r="D32" s="20" t="str">
        <f>'Ordering Period Prices'!C32</f>
        <v>LF</v>
      </c>
      <c r="E32" s="38" t="e">
        <f>SUM(#REF!+#REF!+#REF!+#REF!+#REF!)</f>
        <v>#REF!</v>
      </c>
      <c r="F32" s="21" t="e">
        <f>SUM(#REF!+#REF!+#REF!+#REF!+#REF!)</f>
        <v>#REF!</v>
      </c>
      <c r="G32" s="17" t="e">
        <f>SUM(#REF!,#REF!,#REF!,#REF!,#REF!,#REF!)</f>
        <v>#REF!</v>
      </c>
      <c r="I32" s="59">
        <v>1327.2839524999999</v>
      </c>
      <c r="J32" s="60" t="e">
        <f t="shared" si="0"/>
        <v>#REF!</v>
      </c>
    </row>
    <row r="33" spans="1:10" s="5" customFormat="1" ht="12" customHeight="1" x14ac:dyDescent="0.25">
      <c r="A33" s="31" t="s">
        <v>261</v>
      </c>
      <c r="B33" s="19" t="s">
        <v>386</v>
      </c>
      <c r="C33" s="19" t="str">
        <f>'Ordering Period Prices'!B33</f>
        <v>REPAIR LARGE CRACKS</v>
      </c>
      <c r="D33" s="20" t="str">
        <f>'Ordering Period Prices'!C33</f>
        <v>LF</v>
      </c>
      <c r="E33" s="38" t="e">
        <f>SUM(#REF!+#REF!+#REF!+#REF!+#REF!)</f>
        <v>#REF!</v>
      </c>
      <c r="F33" s="21" t="e">
        <f>SUM(#REF!+#REF!+#REF!+#REF!+#REF!)</f>
        <v>#REF!</v>
      </c>
      <c r="G33" s="17" t="e">
        <f>SUM(#REF!,#REF!,#REF!,#REF!,#REF!,#REF!)</f>
        <v>#REF!</v>
      </c>
      <c r="I33" s="59">
        <v>2322.7469168749999</v>
      </c>
      <c r="J33" s="60" t="e">
        <f t="shared" si="0"/>
        <v>#REF!</v>
      </c>
    </row>
    <row r="34" spans="1:10" s="5" customFormat="1" ht="12" customHeight="1" x14ac:dyDescent="0.25">
      <c r="A34" s="31" t="s">
        <v>262</v>
      </c>
      <c r="B34" s="19" t="s">
        <v>387</v>
      </c>
      <c r="C34" s="19" t="str">
        <f>'Ordering Period Prices'!B34</f>
        <v>ROUT AND SEAL HMA/PCC JOINT</v>
      </c>
      <c r="D34" s="20" t="str">
        <f>'Ordering Period Prices'!C34</f>
        <v>LF</v>
      </c>
      <c r="E34" s="38" t="e">
        <f>SUM(#REF!+#REF!+#REF!+#REF!+#REF!)</f>
        <v>#REF!</v>
      </c>
      <c r="F34" s="21" t="e">
        <f>SUM(#REF!+#REF!+#REF!+#REF!+#REF!)</f>
        <v>#REF!</v>
      </c>
      <c r="G34" s="17" t="e">
        <f>SUM(#REF!,#REF!,#REF!,#REF!,#REF!,#REF!)</f>
        <v>#REF!</v>
      </c>
      <c r="I34" s="56">
        <v>663.64197625000008</v>
      </c>
      <c r="J34" s="58" t="e">
        <f t="shared" si="0"/>
        <v>#REF!</v>
      </c>
    </row>
    <row r="35" spans="1:10" s="5" customFormat="1" ht="12" customHeight="1" x14ac:dyDescent="0.25">
      <c r="A35" s="31" t="s">
        <v>263</v>
      </c>
      <c r="B35" s="19" t="s">
        <v>388</v>
      </c>
      <c r="C35" s="19" t="str">
        <f>'Ordering Period Prices'!B35</f>
        <v>PLACE RUBBERIZED ASPHALT EMULSION SEALANT (2,000-10,000 SY)</v>
      </c>
      <c r="D35" s="20" t="str">
        <f>'Ordering Period Prices'!C35</f>
        <v>SY</v>
      </c>
      <c r="E35" s="38" t="e">
        <f>SUM(#REF!+#REF!+#REF!+#REF!+#REF!)</f>
        <v>#REF!</v>
      </c>
      <c r="F35" s="21" t="e">
        <f>SUM(#REF!+#REF!+#REF!+#REF!+#REF!)</f>
        <v>#REF!</v>
      </c>
      <c r="G35" s="17" t="e">
        <f>SUM(#REF!,#REF!,#REF!,#REF!,#REF!,#REF!)</f>
        <v>#REF!</v>
      </c>
      <c r="I35" s="56">
        <v>69018.765530000004</v>
      </c>
      <c r="J35" s="58" t="e">
        <f t="shared" si="0"/>
        <v>#REF!</v>
      </c>
    </row>
    <row r="36" spans="1:10" s="5" customFormat="1" ht="12" customHeight="1" x14ac:dyDescent="0.25">
      <c r="A36" s="31" t="s">
        <v>264</v>
      </c>
      <c r="B36" s="19" t="s">
        <v>388</v>
      </c>
      <c r="C36" s="19" t="str">
        <f>'Ordering Period Prices'!B36</f>
        <v>PLACE RUBBERIZED ASPHALT EMULSION SEALANT (10,000+ SY)</v>
      </c>
      <c r="D36" s="20" t="str">
        <f>'Ordering Period Prices'!C36</f>
        <v>SY</v>
      </c>
      <c r="E36" s="38" t="e">
        <f>SUM(#REF!+#REF!+#REF!+#REF!+#REF!)</f>
        <v>#REF!</v>
      </c>
      <c r="F36" s="21" t="e">
        <f>SUM(#REF!+#REF!+#REF!+#REF!+#REF!)</f>
        <v>#REF!</v>
      </c>
      <c r="G36" s="17" t="e">
        <f>SUM(#REF!,#REF!,#REF!,#REF!,#REF!,#REF!)</f>
        <v>#REF!</v>
      </c>
      <c r="I36" s="56">
        <v>265456.7905</v>
      </c>
      <c r="J36" s="58" t="e">
        <f t="shared" si="0"/>
        <v>#REF!</v>
      </c>
    </row>
    <row r="37" spans="1:10" s="5" customFormat="1" ht="12" customHeight="1" x14ac:dyDescent="0.25">
      <c r="A37" s="31" t="s">
        <v>265</v>
      </c>
      <c r="B37" s="19" t="s">
        <v>389</v>
      </c>
      <c r="C37" s="19" t="str">
        <f>'Ordering Period Prices'!B37</f>
        <v>PLACE ASPHALT SEALER/REJUVENATOR (2,000-10,000 SY)</v>
      </c>
      <c r="D37" s="20" t="str">
        <f>'Ordering Period Prices'!C37</f>
        <v>SY</v>
      </c>
      <c r="E37" s="38" t="e">
        <f>SUM(#REF!+#REF!+#REF!+#REF!+#REF!)</f>
        <v>#REF!</v>
      </c>
      <c r="F37" s="21" t="e">
        <f>SUM(#REF!+#REF!+#REF!+#REF!+#REF!)</f>
        <v>#REF!</v>
      </c>
      <c r="G37" s="17" t="e">
        <f>SUM(#REF!,#REF!,#REF!,#REF!,#REF!,#REF!)</f>
        <v>#REF!</v>
      </c>
      <c r="I37" s="56">
        <v>26545.679050000002</v>
      </c>
      <c r="J37" s="58" t="e">
        <f t="shared" si="0"/>
        <v>#REF!</v>
      </c>
    </row>
    <row r="38" spans="1:10" s="5" customFormat="1" ht="12" customHeight="1" x14ac:dyDescent="0.25">
      <c r="A38" s="31" t="s">
        <v>266</v>
      </c>
      <c r="B38" s="19" t="s">
        <v>389</v>
      </c>
      <c r="C38" s="19" t="str">
        <f>'Ordering Period Prices'!B38</f>
        <v>PLACE ASPHALT SEALER/REJUVENATOR (10,000+ SY)</v>
      </c>
      <c r="D38" s="20" t="str">
        <f>'Ordering Period Prices'!C38</f>
        <v>SY</v>
      </c>
      <c r="E38" s="38" t="e">
        <f>SUM(#REF!+#REF!+#REF!+#REF!+#REF!)</f>
        <v>#REF!</v>
      </c>
      <c r="F38" s="21" t="e">
        <f>SUM(#REF!+#REF!+#REF!+#REF!+#REF!)</f>
        <v>#REF!</v>
      </c>
      <c r="G38" s="17" t="e">
        <f>SUM(#REF!,#REF!,#REF!,#REF!,#REF!,#REF!)</f>
        <v>#REF!</v>
      </c>
      <c r="I38" s="56">
        <v>106182.71620000001</v>
      </c>
      <c r="J38" s="58" t="e">
        <f t="shared" si="0"/>
        <v>#REF!</v>
      </c>
    </row>
    <row r="39" spans="1:10" s="5" customFormat="1" ht="12" customHeight="1" x14ac:dyDescent="0.25">
      <c r="A39" s="31" t="s">
        <v>267</v>
      </c>
      <c r="B39" s="19" t="s">
        <v>390</v>
      </c>
      <c r="C39" s="19" t="str">
        <f>'Ordering Period Prices'!B39</f>
        <v>PLACE COLD TAR SEAL</v>
      </c>
      <c r="D39" s="20" t="str">
        <f>'Ordering Period Prices'!C39</f>
        <v>SY</v>
      </c>
      <c r="E39" s="38" t="e">
        <f>SUM(#REF!+#REF!+#REF!+#REF!+#REF!)</f>
        <v>#REF!</v>
      </c>
      <c r="F39" s="21" t="e">
        <f>SUM(#REF!+#REF!+#REF!+#REF!+#REF!)</f>
        <v>#REF!</v>
      </c>
      <c r="G39" s="17" t="e">
        <f>SUM(#REF!,#REF!,#REF!,#REF!,#REF!,#REF!)</f>
        <v>#REF!</v>
      </c>
      <c r="I39" s="56">
        <v>9290.9876674999996</v>
      </c>
      <c r="J39" s="58" t="e">
        <f t="shared" si="0"/>
        <v>#REF!</v>
      </c>
    </row>
    <row r="40" spans="1:10" s="5" customFormat="1" ht="12" customHeight="1" x14ac:dyDescent="0.25">
      <c r="A40" s="31" t="s">
        <v>268</v>
      </c>
      <c r="B40" s="19" t="s">
        <v>391</v>
      </c>
      <c r="C40" s="19" t="str">
        <f>'Ordering Period Prices'!B40</f>
        <v>PLACE DUST PALLIATIVE TREATMENT</v>
      </c>
      <c r="D40" s="20" t="str">
        <f>'Ordering Period Prices'!C40</f>
        <v>SY</v>
      </c>
      <c r="E40" s="38" t="e">
        <f>SUM(#REF!+#REF!+#REF!+#REF!+#REF!)</f>
        <v>#REF!</v>
      </c>
      <c r="F40" s="21" t="e">
        <f>SUM(#REF!+#REF!+#REF!+#REF!+#REF!)</f>
        <v>#REF!</v>
      </c>
      <c r="G40" s="18"/>
      <c r="I40" s="56">
        <v>5309.1358099999998</v>
      </c>
      <c r="J40" s="58" t="e">
        <f t="shared" si="0"/>
        <v>#REF!</v>
      </c>
    </row>
    <row r="41" spans="1:10" s="5" customFormat="1" ht="12" customHeight="1" x14ac:dyDescent="0.25">
      <c r="A41" s="183" t="str">
        <f>'Ordering Period Prices'!B41</f>
        <v>PCC PAVEMENTS</v>
      </c>
      <c r="B41" s="169"/>
      <c r="C41" s="169"/>
      <c r="D41" s="169"/>
      <c r="E41" s="169"/>
      <c r="F41" s="170"/>
      <c r="G41" s="17" t="e">
        <f>SUM(#REF!,#REF!,#REF!,#REF!,#REF!,#REF!)</f>
        <v>#REF!</v>
      </c>
      <c r="I41" s="56"/>
      <c r="J41" s="58"/>
    </row>
    <row r="42" spans="1:10" s="5" customFormat="1" ht="12" customHeight="1" x14ac:dyDescent="0.25">
      <c r="A42" s="31" t="s">
        <v>269</v>
      </c>
      <c r="B42" s="19" t="s">
        <v>392</v>
      </c>
      <c r="C42" s="19" t="str">
        <f>'Ordering Period Prices'!B42</f>
        <v>REPAIR PARTIAL DEPTH SPALLS (50-500 SF)</v>
      </c>
      <c r="D42" s="20" t="str">
        <f>'Ordering Period Prices'!C42</f>
        <v>SF</v>
      </c>
      <c r="E42" s="38" t="e">
        <f>SUM(#REF!+#REF!+#REF!+#REF!+#REF!)</f>
        <v>#REF!</v>
      </c>
      <c r="F42" s="21" t="e">
        <f>SUM(#REF!+#REF!+#REF!+#REF!+#REF!)</f>
        <v>#REF!</v>
      </c>
      <c r="G42" s="17" t="e">
        <f>SUM(#REF!,#REF!,#REF!,#REF!,#REF!,#REF!)</f>
        <v>#REF!</v>
      </c>
      <c r="I42" s="56">
        <v>15927.407430000001</v>
      </c>
      <c r="J42" s="58" t="e">
        <f t="shared" ref="J42:J66" si="1">F42/I42</f>
        <v>#REF!</v>
      </c>
    </row>
    <row r="43" spans="1:10" s="5" customFormat="1" ht="12" customHeight="1" x14ac:dyDescent="0.25">
      <c r="A43" s="31" t="s">
        <v>270</v>
      </c>
      <c r="B43" s="19" t="s">
        <v>392</v>
      </c>
      <c r="C43" s="19" t="str">
        <f>'Ordering Period Prices'!B43</f>
        <v>REPAIR PARTIAL DEPTH SPALLS (500+ SF)</v>
      </c>
      <c r="D43" s="20" t="str">
        <f>'Ordering Period Prices'!C43</f>
        <v>SF</v>
      </c>
      <c r="E43" s="38" t="e">
        <f>SUM(#REF!+#REF!+#REF!+#REF!+#REF!)</f>
        <v>#REF!</v>
      </c>
      <c r="F43" s="21" t="e">
        <f>SUM(#REF!+#REF!+#REF!+#REF!+#REF!)</f>
        <v>#REF!</v>
      </c>
      <c r="G43" s="17" t="e">
        <f>SUM(#REF!,#REF!,#REF!,#REF!,#REF!,#REF!)</f>
        <v>#REF!</v>
      </c>
      <c r="I43" s="56">
        <v>119455.555725</v>
      </c>
      <c r="J43" s="58" t="e">
        <f t="shared" si="1"/>
        <v>#REF!</v>
      </c>
    </row>
    <row r="44" spans="1:10" s="5" customFormat="1" ht="12" customHeight="1" x14ac:dyDescent="0.25">
      <c r="A44" s="31" t="s">
        <v>271</v>
      </c>
      <c r="B44" s="19" t="s">
        <v>393</v>
      </c>
      <c r="C44" s="19" t="str">
        <f>'Ordering Period Prices'!B44</f>
        <v>REPAIR FULL DEPTH SPALLS</v>
      </c>
      <c r="D44" s="20" t="str">
        <f>'Ordering Period Prices'!C44</f>
        <v>SF</v>
      </c>
      <c r="E44" s="38" t="e">
        <f>SUM(#REF!+#REF!+#REF!+#REF!+#REF!)</f>
        <v>#REF!</v>
      </c>
      <c r="F44" s="21" t="e">
        <f>SUM(#REF!+#REF!+#REF!+#REF!+#REF!)</f>
        <v>#REF!</v>
      </c>
      <c r="G44" s="17" t="e">
        <f>SUM(#REF!,#REF!,#REF!,#REF!,#REF!,#REF!)</f>
        <v>#REF!</v>
      </c>
      <c r="I44" s="56">
        <v>172546.913825</v>
      </c>
      <c r="J44" s="58" t="e">
        <f t="shared" si="1"/>
        <v>#REF!</v>
      </c>
    </row>
    <row r="45" spans="1:10" s="5" customFormat="1" ht="12" customHeight="1" x14ac:dyDescent="0.25">
      <c r="A45" s="31" t="s">
        <v>272</v>
      </c>
      <c r="B45" s="19" t="s">
        <v>394</v>
      </c>
      <c r="C45" s="19" t="str">
        <f>'Ordering Period Prices'!B45</f>
        <v>REPAIR PCC CRACKS</v>
      </c>
      <c r="D45" s="20" t="str">
        <f>'Ordering Period Prices'!C45</f>
        <v>LF</v>
      </c>
      <c r="E45" s="38" t="e">
        <f>SUM(#REF!+#REF!+#REF!+#REF!+#REF!)</f>
        <v>#REF!</v>
      </c>
      <c r="F45" s="21" t="e">
        <f>SUM(#REF!+#REF!+#REF!+#REF!+#REF!)</f>
        <v>#REF!</v>
      </c>
      <c r="G45" s="17" t="e">
        <f>SUM(#REF!,#REF!,#REF!,#REF!,#REF!,#REF!)</f>
        <v>#REF!</v>
      </c>
      <c r="I45" s="56">
        <v>15927.407430000001</v>
      </c>
      <c r="J45" s="58" t="e">
        <f t="shared" si="1"/>
        <v>#REF!</v>
      </c>
    </row>
    <row r="46" spans="1:10" s="127" customFormat="1" ht="12" customHeight="1" x14ac:dyDescent="0.25">
      <c r="A46" s="31" t="s">
        <v>273</v>
      </c>
      <c r="B46" s="19" t="s">
        <v>395</v>
      </c>
      <c r="C46" s="19" t="str">
        <f>'Ordering Period Prices'!B46</f>
        <v xml:space="preserve">RESEAL PCC PAVEMENT JOINTS </v>
      </c>
      <c r="D46" s="20" t="str">
        <f>'Ordering Period Prices'!C46</f>
        <v>LF</v>
      </c>
      <c r="E46" s="124"/>
      <c r="F46" s="125" t="e">
        <f>SUM(#REF!+#REF!+#REF!+#REF!+#REF!)</f>
        <v>#REF!</v>
      </c>
      <c r="G46" s="126" t="e">
        <f>SUM(#REF!,#REF!,#REF!,#REF!,#REF!,#REF!)</f>
        <v>#REF!</v>
      </c>
      <c r="I46" s="128">
        <v>18581.975334999999</v>
      </c>
      <c r="J46" s="129" t="e">
        <f t="shared" si="1"/>
        <v>#REF!</v>
      </c>
    </row>
    <row r="47" spans="1:10" s="5" customFormat="1" ht="12" customHeight="1" x14ac:dyDescent="0.25">
      <c r="A47" s="31" t="s">
        <v>274</v>
      </c>
      <c r="B47" s="19" t="s">
        <v>396</v>
      </c>
      <c r="C47" s="19" t="str">
        <f>'Ordering Period Prices'!B47</f>
        <v>DEMOLISH CURBS AND GUTTERS</v>
      </c>
      <c r="D47" s="20" t="str">
        <f>'Ordering Period Prices'!C47</f>
        <v>LF</v>
      </c>
      <c r="E47" s="38" t="e">
        <f>SUM(#REF!+#REF!+#REF!+#REF!+#REF!)</f>
        <v>#REF!</v>
      </c>
      <c r="F47" s="21" t="e">
        <f>SUM(#REF!+#REF!+#REF!+#REF!+#REF!)</f>
        <v>#REF!</v>
      </c>
      <c r="G47" s="17" t="e">
        <f>SUM(#REF!,#REF!,#REF!,#REF!,#REF!,#REF!)</f>
        <v>#REF!</v>
      </c>
      <c r="I47" s="56">
        <v>10618.27162</v>
      </c>
      <c r="J47" s="58" t="e">
        <f t="shared" si="1"/>
        <v>#REF!</v>
      </c>
    </row>
    <row r="48" spans="1:10" s="5" customFormat="1" ht="12" customHeight="1" x14ac:dyDescent="0.25">
      <c r="A48" s="31" t="s">
        <v>275</v>
      </c>
      <c r="B48" s="19" t="s">
        <v>397</v>
      </c>
      <c r="C48" s="19" t="str">
        <f>'Ordering Period Prices'!B48</f>
        <v>DEMOLISH SIDEWALKS</v>
      </c>
      <c r="D48" s="20" t="str">
        <f>'Ordering Period Prices'!C48</f>
        <v>SF</v>
      </c>
      <c r="E48" s="38" t="e">
        <f>SUM(#REF!+#REF!+#REF!+#REF!+#REF!)</f>
        <v>#REF!</v>
      </c>
      <c r="F48" s="21" t="e">
        <f>SUM(#REF!+#REF!+#REF!+#REF!+#REF!)</f>
        <v>#REF!</v>
      </c>
      <c r="G48" s="17" t="e">
        <f>SUM(#REF!,#REF!,#REF!,#REF!,#REF!,#REF!)</f>
        <v>#REF!</v>
      </c>
      <c r="I48" s="56">
        <v>7963.7037150000006</v>
      </c>
      <c r="J48" s="58" t="e">
        <f t="shared" si="1"/>
        <v>#REF!</v>
      </c>
    </row>
    <row r="49" spans="1:10" s="5" customFormat="1" ht="12" customHeight="1" x14ac:dyDescent="0.25">
      <c r="A49" s="31" t="s">
        <v>276</v>
      </c>
      <c r="B49" s="19" t="s">
        <v>398</v>
      </c>
      <c r="C49" s="19" t="str">
        <f>'Ordering Period Prices'!B49</f>
        <v>CONSTRUCT PCC CURBS AND GUTTERS (50-500 LF)</v>
      </c>
      <c r="D49" s="20" t="str">
        <f>'Ordering Period Prices'!C49</f>
        <v>LF</v>
      </c>
      <c r="E49" s="38" t="e">
        <f>SUM(#REF!+#REF!+#REF!+#REF!+#REF!)</f>
        <v>#REF!</v>
      </c>
      <c r="F49" s="21" t="e">
        <f>SUM(#REF!+#REF!+#REF!+#REF!+#REF!)</f>
        <v>#REF!</v>
      </c>
      <c r="G49" s="17" t="e">
        <f>SUM(#REF!,#REF!,#REF!,#REF!,#REF!,#REF!)</f>
        <v>#REF!</v>
      </c>
      <c r="I49" s="56">
        <v>8494.6172960000004</v>
      </c>
      <c r="J49" s="58" t="e">
        <f t="shared" si="1"/>
        <v>#REF!</v>
      </c>
    </row>
    <row r="50" spans="1:10" s="5" customFormat="1" ht="12" customHeight="1" x14ac:dyDescent="0.25">
      <c r="A50" s="31" t="s">
        <v>277</v>
      </c>
      <c r="B50" s="19" t="s">
        <v>398</v>
      </c>
      <c r="C50" s="19" t="str">
        <f>'Ordering Period Prices'!B50</f>
        <v>CONSTRUCT PCC CURBS AND GUTTERS (500+ LF)</v>
      </c>
      <c r="D50" s="20" t="str">
        <f>'Ordering Period Prices'!C50</f>
        <v>LF</v>
      </c>
      <c r="E50" s="38" t="e">
        <f>SUM(#REF!+#REF!+#REF!+#REF!+#REF!)</f>
        <v>#REF!</v>
      </c>
      <c r="F50" s="21" t="e">
        <f>SUM(#REF!+#REF!+#REF!+#REF!+#REF!)</f>
        <v>#REF!</v>
      </c>
      <c r="G50" s="17" t="e">
        <f>SUM(#REF!,#REF!,#REF!,#REF!,#REF!,#REF!)</f>
        <v>#REF!</v>
      </c>
      <c r="I50" s="56">
        <v>79637.037149999989</v>
      </c>
      <c r="J50" s="58" t="e">
        <f t="shared" si="1"/>
        <v>#REF!</v>
      </c>
    </row>
    <row r="51" spans="1:10" s="5" customFormat="1" ht="12" customHeight="1" x14ac:dyDescent="0.25">
      <c r="A51" s="31" t="s">
        <v>278</v>
      </c>
      <c r="B51" s="19" t="s">
        <v>399</v>
      </c>
      <c r="C51" s="19" t="str">
        <f>'Ordering Period Prices'!B51</f>
        <v>CONSTRUCT CROSS GUTTERS (VALLEY GUTTER)</v>
      </c>
      <c r="D51" s="20" t="str">
        <f>'Ordering Period Prices'!C51</f>
        <v>SF</v>
      </c>
      <c r="E51" s="38" t="e">
        <f>SUM(#REF!+#REF!+#REF!+#REF!+#REF!)</f>
        <v>#REF!</v>
      </c>
      <c r="F51" s="21" t="e">
        <f>SUM(#REF!+#REF!+#REF!+#REF!+#REF!)</f>
        <v>#REF!</v>
      </c>
      <c r="G51" s="17" t="e">
        <f>SUM(#REF!,#REF!,#REF!,#REF!,#REF!,#REF!)</f>
        <v>#REF!</v>
      </c>
      <c r="I51" s="56">
        <v>19909.259287499997</v>
      </c>
      <c r="J51" s="58" t="e">
        <f t="shared" si="1"/>
        <v>#REF!</v>
      </c>
    </row>
    <row r="52" spans="1:10" s="5" customFormat="1" ht="12" customHeight="1" x14ac:dyDescent="0.25">
      <c r="A52" s="31" t="s">
        <v>279</v>
      </c>
      <c r="B52" s="19" t="s">
        <v>400</v>
      </c>
      <c r="C52" s="19" t="str">
        <f>'Ordering Period Prices'!B52</f>
        <v>CONSTRUCT SIDEWALKS (100-500 SF)</v>
      </c>
      <c r="D52" s="20" t="str">
        <f>'Ordering Period Prices'!C52</f>
        <v>SF</v>
      </c>
      <c r="E52" s="38" t="e">
        <f>SUM(#REF!+#REF!+#REF!+#REF!+#REF!)</f>
        <v>#REF!</v>
      </c>
      <c r="F52" s="21" t="e">
        <f>SUM(#REF!+#REF!+#REF!+#REF!+#REF!)</f>
        <v>#REF!</v>
      </c>
      <c r="G52" s="17" t="e">
        <f>SUM(#REF!,#REF!,#REF!,#REF!,#REF!,#REF!)</f>
        <v>#REF!</v>
      </c>
      <c r="I52" s="56">
        <v>5840.0493910000005</v>
      </c>
      <c r="J52" s="58" t="e">
        <f t="shared" si="1"/>
        <v>#REF!</v>
      </c>
    </row>
    <row r="53" spans="1:10" s="5" customFormat="1" ht="12" customHeight="1" x14ac:dyDescent="0.25">
      <c r="A53" s="31" t="s">
        <v>280</v>
      </c>
      <c r="B53" s="19" t="s">
        <v>400</v>
      </c>
      <c r="C53" s="19" t="str">
        <f>'Ordering Period Prices'!B53</f>
        <v>CONSTRUCT SIDEWALKS (500+ SF)</v>
      </c>
      <c r="D53" s="20" t="str">
        <f>'Ordering Period Prices'!C53</f>
        <v>SF</v>
      </c>
      <c r="E53" s="38" t="e">
        <f>SUM(#REF!+#REF!+#REF!+#REF!+#REF!)</f>
        <v>#REF!</v>
      </c>
      <c r="F53" s="21" t="e">
        <f>SUM(#REF!+#REF!+#REF!+#REF!+#REF!)</f>
        <v>#REF!</v>
      </c>
      <c r="G53" s="17" t="e">
        <f>SUM(#REF!,#REF!,#REF!,#REF!,#REF!,#REF!)</f>
        <v>#REF!</v>
      </c>
      <c r="I53" s="56">
        <v>21236.543239999999</v>
      </c>
      <c r="J53" s="58" t="e">
        <f t="shared" si="1"/>
        <v>#REF!</v>
      </c>
    </row>
    <row r="54" spans="1:10" s="5" customFormat="1" ht="12" customHeight="1" x14ac:dyDescent="0.25">
      <c r="A54" s="31" t="s">
        <v>281</v>
      </c>
      <c r="B54" s="19" t="s">
        <v>401</v>
      </c>
      <c r="C54" s="19" t="str">
        <f>'Ordering Period Prices'!B54</f>
        <v>CONSTRUCT 6" THICK PCC PAVEMENT</v>
      </c>
      <c r="D54" s="20" t="str">
        <f>'Ordering Period Prices'!C54</f>
        <v>SF</v>
      </c>
      <c r="E54" s="38" t="e">
        <f>SUM(#REF!+#REF!+#REF!+#REF!+#REF!)</f>
        <v>#REF!</v>
      </c>
      <c r="F54" s="21" t="e">
        <f>SUM(#REF!+#REF!+#REF!+#REF!+#REF!)</f>
        <v>#REF!</v>
      </c>
      <c r="G54" s="18"/>
      <c r="I54" s="56">
        <v>17254.691382500001</v>
      </c>
      <c r="J54" s="58" t="e">
        <f t="shared" si="1"/>
        <v>#REF!</v>
      </c>
    </row>
    <row r="55" spans="1:10" s="5" customFormat="1" ht="12" customHeight="1" x14ac:dyDescent="0.25">
      <c r="A55" s="31" t="s">
        <v>282</v>
      </c>
      <c r="B55" s="19" t="s">
        <v>401</v>
      </c>
      <c r="C55" s="19" t="str">
        <f>'Ordering Period Prices'!B55</f>
        <v>CONSTRUCT 8" THICK PCC PAVEMENT</v>
      </c>
      <c r="D55" s="20" t="str">
        <f>'Ordering Period Prices'!C55</f>
        <v>SF</v>
      </c>
      <c r="E55" s="38" t="e">
        <f>SUM(#REF!+#REF!+#REF!+#REF!+#REF!)</f>
        <v>#REF!</v>
      </c>
      <c r="F55" s="21" t="e">
        <f>SUM(#REF!+#REF!+#REF!+#REF!+#REF!)</f>
        <v>#REF!</v>
      </c>
      <c r="G55" s="17" t="e">
        <f>SUM(#REF!,#REF!,#REF!,#REF!,#REF!,#REF!)</f>
        <v>#REF!</v>
      </c>
      <c r="I55" s="56">
        <v>19909.259287499997</v>
      </c>
      <c r="J55" s="58" t="e">
        <f t="shared" si="1"/>
        <v>#REF!</v>
      </c>
    </row>
    <row r="56" spans="1:10" s="5" customFormat="1" ht="12" customHeight="1" x14ac:dyDescent="0.25">
      <c r="A56" s="31" t="s">
        <v>283</v>
      </c>
      <c r="B56" s="19" t="s">
        <v>402</v>
      </c>
      <c r="C56" s="19" t="str">
        <f>'Ordering Period Prices'!B56</f>
        <v>CONSTRUCT 10" THICK PCC ROAD INTERSECTION PAVEMENT</v>
      </c>
      <c r="D56" s="20" t="str">
        <f>'Ordering Period Prices'!C56</f>
        <v>SY</v>
      </c>
      <c r="E56" s="38" t="e">
        <f>SUM(#REF!+#REF!+#REF!+#REF!+#REF!)</f>
        <v>#REF!</v>
      </c>
      <c r="F56" s="21" t="e">
        <f>SUM(#REF!+#REF!+#REF!+#REF!+#REF!)</f>
        <v>#REF!</v>
      </c>
      <c r="G56" s="17" t="e">
        <f>SUM(#REF!,#REF!,#REF!,#REF!,#REF!,#REF!)</f>
        <v>#REF!</v>
      </c>
      <c r="I56" s="56">
        <v>584004.93909999996</v>
      </c>
      <c r="J56" s="58" t="e">
        <f t="shared" si="1"/>
        <v>#REF!</v>
      </c>
    </row>
    <row r="57" spans="1:10" s="5" customFormat="1" ht="12" customHeight="1" x14ac:dyDescent="0.25">
      <c r="A57" s="31" t="s">
        <v>284</v>
      </c>
      <c r="B57" s="19" t="s">
        <v>403</v>
      </c>
      <c r="C57" s="19" t="str">
        <f>'Ordering Period Prices'!B57</f>
        <v xml:space="preserve">CONSTRUCT 12" THICK AIRFIELD PCC PAVEMENT </v>
      </c>
      <c r="D57" s="20" t="str">
        <f>'Ordering Period Prices'!C57</f>
        <v>SY</v>
      </c>
      <c r="E57" s="38" t="e">
        <f>SUM(#REF!+#REF!+#REF!+#REF!+#REF!)</f>
        <v>#REF!</v>
      </c>
      <c r="F57" s="21" t="e">
        <f>SUM(#REF!+#REF!+#REF!+#REF!+#REF!)</f>
        <v>#REF!</v>
      </c>
      <c r="G57" s="17" t="e">
        <f>SUM(#REF!,#REF!,#REF!,#REF!,#REF!,#REF!)</f>
        <v>#REF!</v>
      </c>
      <c r="I57" s="56">
        <v>146001.23477499999</v>
      </c>
      <c r="J57" s="58" t="e">
        <f t="shared" si="1"/>
        <v>#REF!</v>
      </c>
    </row>
    <row r="58" spans="1:10" s="5" customFormat="1" ht="12" customHeight="1" x14ac:dyDescent="0.25">
      <c r="A58" s="31" t="s">
        <v>285</v>
      </c>
      <c r="B58" s="19" t="s">
        <v>404</v>
      </c>
      <c r="C58" s="19" t="str">
        <f>'Ordering Period Prices'!B58</f>
        <v>CONSTRUCT 15" THICK  AIRFIELD PCC PAVEMENT (250-15,000 SY)</v>
      </c>
      <c r="D58" s="20" t="str">
        <f>'Ordering Period Prices'!C58</f>
        <v>SY</v>
      </c>
      <c r="E58" s="38" t="e">
        <f>SUM(#REF!+#REF!+#REF!+#REF!+#REF!)</f>
        <v>#REF!</v>
      </c>
      <c r="F58" s="21" t="e">
        <f>SUM(#REF!+#REF!+#REF!+#REF!+#REF!)</f>
        <v>#REF!</v>
      </c>
      <c r="G58" s="17" t="e">
        <f>SUM(#REF!,#REF!,#REF!,#REF!,#REF!,#REF!)</f>
        <v>#REF!</v>
      </c>
      <c r="I58" s="56">
        <v>219001.85216250003</v>
      </c>
      <c r="J58" s="58" t="e">
        <f t="shared" si="1"/>
        <v>#REF!</v>
      </c>
    </row>
    <row r="59" spans="1:10" s="5" customFormat="1" ht="12" customHeight="1" x14ac:dyDescent="0.25">
      <c r="A59" s="31" t="s">
        <v>286</v>
      </c>
      <c r="B59" s="19" t="s">
        <v>404</v>
      </c>
      <c r="C59" s="19" t="str">
        <f>'Ordering Period Prices'!B59</f>
        <v>CONSTRUCT 15" THICK AIRFIELD PCC PAVEMENT (15,000+ SY)</v>
      </c>
      <c r="D59" s="20" t="str">
        <f>'Ordering Period Prices'!C59</f>
        <v>SY</v>
      </c>
      <c r="E59" s="38" t="e">
        <f>SUM(#REF!+#REF!+#REF!+#REF!+#REF!)</f>
        <v>#REF!</v>
      </c>
      <c r="F59" s="21" t="e">
        <f>SUM(#REF!+#REF!+#REF!+#REF!+#REF!)</f>
        <v>#REF!</v>
      </c>
      <c r="G59" s="17" t="e">
        <f>SUM(#REF!,#REF!,#REF!,#REF!,#REF!,#REF!)</f>
        <v>#REF!</v>
      </c>
      <c r="I59" s="56">
        <v>9158259.2722500004</v>
      </c>
      <c r="J59" s="58" t="e">
        <f t="shared" si="1"/>
        <v>#REF!</v>
      </c>
    </row>
    <row r="60" spans="1:10" s="5" customFormat="1" ht="12" customHeight="1" x14ac:dyDescent="0.25">
      <c r="A60" s="31" t="s">
        <v>287</v>
      </c>
      <c r="B60" s="19" t="s">
        <v>405</v>
      </c>
      <c r="C60" s="19" t="str">
        <f>'Ordering Period Prices'!B60</f>
        <v>CONSTRUCT 20" THICK AIRFIELD PCC PAVEMENT (250+ SY)</v>
      </c>
      <c r="D60" s="20" t="str">
        <f>'Ordering Period Prices'!C60</f>
        <v>SY</v>
      </c>
      <c r="E60" s="38" t="e">
        <f>SUM(#REF!+#REF!+#REF!+#REF!+#REF!)</f>
        <v>#REF!</v>
      </c>
      <c r="F60" s="21" t="e">
        <f>SUM(#REF!+#REF!+#REF!+#REF!+#REF!)</f>
        <v>#REF!</v>
      </c>
      <c r="G60" s="17" t="e">
        <f>SUM(#REF!,#REF!,#REF!,#REF!,#REF!,#REF!)</f>
        <v>#REF!</v>
      </c>
      <c r="I60" s="56">
        <v>219001.85216250003</v>
      </c>
      <c r="J60" s="58" t="e">
        <f t="shared" si="1"/>
        <v>#REF!</v>
      </c>
    </row>
    <row r="61" spans="1:10" s="5" customFormat="1" ht="12" customHeight="1" x14ac:dyDescent="0.25">
      <c r="A61" s="31" t="s">
        <v>288</v>
      </c>
      <c r="B61" s="19" t="s">
        <v>406</v>
      </c>
      <c r="C61" s="19" t="str">
        <f>'Ordering Period Prices'!B61</f>
        <v xml:space="preserve">DEMOLISH 6" TO 10" THICK PCC PAVEMENT </v>
      </c>
      <c r="D61" s="20" t="str">
        <f>'Ordering Period Prices'!C61</f>
        <v>SY</v>
      </c>
      <c r="E61" s="38" t="e">
        <f>SUM(#REF!+#REF!+#REF!+#REF!+#REF!)</f>
        <v>#REF!</v>
      </c>
      <c r="F61" s="21" t="e">
        <f>SUM(#REF!+#REF!+#REF!+#REF!+#REF!)</f>
        <v>#REF!</v>
      </c>
      <c r="G61" s="18"/>
      <c r="I61" s="56">
        <v>35836.666717500004</v>
      </c>
      <c r="J61" s="58" t="e">
        <f t="shared" si="1"/>
        <v>#REF!</v>
      </c>
    </row>
    <row r="62" spans="1:10" s="5" customFormat="1" ht="12" customHeight="1" x14ac:dyDescent="0.25">
      <c r="A62" s="31" t="s">
        <v>289</v>
      </c>
      <c r="B62" s="19" t="s">
        <v>407</v>
      </c>
      <c r="C62" s="19" t="str">
        <f>'Ordering Period Prices'!B62</f>
        <v>DEMOLISH 10" TO 15" THICK PCC PAVEMENT (250-5,000 SY)</v>
      </c>
      <c r="D62" s="20" t="str">
        <f>'Ordering Period Prices'!C62</f>
        <v>SY</v>
      </c>
      <c r="E62" s="38" t="e">
        <f>SUM(#REF!+#REF!+#REF!+#REF!+#REF!)</f>
        <v>#REF!</v>
      </c>
      <c r="F62" s="21" t="e">
        <f>SUM(#REF!+#REF!+#REF!+#REF!+#REF!)</f>
        <v>#REF!</v>
      </c>
      <c r="G62" s="17" t="e">
        <f>SUM(#REF!,#REF!,#REF!,#REF!,#REF!,#REF!)</f>
        <v>#REF!</v>
      </c>
      <c r="I62" s="56">
        <v>53091.358100000005</v>
      </c>
      <c r="J62" s="58" t="e">
        <f t="shared" si="1"/>
        <v>#REF!</v>
      </c>
    </row>
    <row r="63" spans="1:10" s="5" customFormat="1" ht="12" customHeight="1" x14ac:dyDescent="0.25">
      <c r="A63" s="31" t="s">
        <v>290</v>
      </c>
      <c r="B63" s="19" t="s">
        <v>407</v>
      </c>
      <c r="C63" s="19" t="str">
        <f>'Ordering Period Prices'!B63</f>
        <v>DEMOLISH 10" TO 15" THICK PCC PAVEMENT (5,000+ SY)</v>
      </c>
      <c r="D63" s="20" t="str">
        <f>'Ordering Period Prices'!C63</f>
        <v>SY</v>
      </c>
      <c r="E63" s="38" t="e">
        <f>SUM(#REF!+#REF!+#REF!+#REF!+#REF!)</f>
        <v>#REF!</v>
      </c>
      <c r="F63" s="21" t="e">
        <f>SUM(#REF!+#REF!+#REF!+#REF!+#REF!)</f>
        <v>#REF!</v>
      </c>
      <c r="G63" s="17" t="e">
        <f>SUM(#REF!,#REF!,#REF!,#REF!,#REF!,#REF!)</f>
        <v>#REF!</v>
      </c>
      <c r="I63" s="56">
        <v>796370.37150000001</v>
      </c>
      <c r="J63" s="58" t="e">
        <f t="shared" si="1"/>
        <v>#REF!</v>
      </c>
    </row>
    <row r="64" spans="1:10" s="5" customFormat="1" ht="12" customHeight="1" x14ac:dyDescent="0.25">
      <c r="A64" s="31" t="s">
        <v>291</v>
      </c>
      <c r="B64" s="19" t="s">
        <v>408</v>
      </c>
      <c r="C64" s="19" t="str">
        <f>'Ordering Period Prices'!B64</f>
        <v xml:space="preserve">DEMOLISH 15" TO 20" THICK PCC PAVEMENT </v>
      </c>
      <c r="D64" s="20" t="str">
        <f>'Ordering Period Prices'!C64</f>
        <v>SY</v>
      </c>
      <c r="E64" s="38" t="e">
        <f>SUM(#REF!+#REF!+#REF!+#REF!+#REF!)</f>
        <v>#REF!</v>
      </c>
      <c r="F64" s="21" t="e">
        <f>SUM(#REF!+#REF!+#REF!+#REF!+#REF!)</f>
        <v>#REF!</v>
      </c>
      <c r="G64" s="17" t="e">
        <f>SUM(#REF!,#REF!,#REF!,#REF!,#REF!,#REF!)</f>
        <v>#REF!</v>
      </c>
      <c r="I64" s="56">
        <v>11414.641991499999</v>
      </c>
      <c r="J64" s="58" t="e">
        <f t="shared" si="1"/>
        <v>#REF!</v>
      </c>
    </row>
    <row r="65" spans="1:10" s="5" customFormat="1" ht="12" customHeight="1" x14ac:dyDescent="0.25">
      <c r="A65" s="31" t="s">
        <v>292</v>
      </c>
      <c r="B65" s="19" t="s">
        <v>409</v>
      </c>
      <c r="C65" s="19" t="str">
        <f>'Ordering Period Prices'!B65</f>
        <v xml:space="preserve">SAWCUT PCC PAVEMENT &lt;12" </v>
      </c>
      <c r="D65" s="20" t="str">
        <f>'Ordering Period Prices'!C65</f>
        <v>LF</v>
      </c>
      <c r="E65" s="38" t="e">
        <f>SUM(#REF!+#REF!+#REF!+#REF!+#REF!)</f>
        <v>#REF!</v>
      </c>
      <c r="F65" s="21" t="e">
        <f>SUM(#REF!+#REF!+#REF!+#REF!+#REF!)</f>
        <v>#REF!</v>
      </c>
      <c r="G65" s="17" t="e">
        <f>SUM(#REF!,#REF!,#REF!,#REF!,#REF!,#REF!)</f>
        <v>#REF!</v>
      </c>
      <c r="I65" s="56">
        <v>13272.839525000001</v>
      </c>
      <c r="J65" s="58" t="e">
        <f t="shared" si="1"/>
        <v>#REF!</v>
      </c>
    </row>
    <row r="66" spans="1:10" s="5" customFormat="1" ht="12" customHeight="1" x14ac:dyDescent="0.25">
      <c r="A66" s="31" t="s">
        <v>293</v>
      </c>
      <c r="B66" s="19" t="s">
        <v>410</v>
      </c>
      <c r="C66" s="19" t="str">
        <f>'Ordering Period Prices'!B66</f>
        <v>SAWCUT PCC PAVEMENT &gt;12" (100+ LF)</v>
      </c>
      <c r="D66" s="20" t="str">
        <f>'Ordering Period Prices'!C66</f>
        <v>LF</v>
      </c>
      <c r="E66" s="38" t="e">
        <f>SUM(#REF!+#REF!+#REF!+#REF!+#REF!)</f>
        <v>#REF!</v>
      </c>
      <c r="F66" s="21" t="e">
        <f>SUM(#REF!+#REF!+#REF!+#REF!+#REF!)</f>
        <v>#REF!</v>
      </c>
      <c r="G66" s="17" t="e">
        <f>SUM(#REF!,#REF!,#REF!,#REF!,#REF!,#REF!)</f>
        <v>#REF!</v>
      </c>
      <c r="I66" s="56">
        <v>19909.259287499997</v>
      </c>
      <c r="J66" s="58" t="e">
        <f t="shared" si="1"/>
        <v>#REF!</v>
      </c>
    </row>
    <row r="67" spans="1:10" s="5" customFormat="1" ht="12" customHeight="1" x14ac:dyDescent="0.25">
      <c r="A67" s="31" t="s">
        <v>294</v>
      </c>
      <c r="B67" s="19" t="s">
        <v>411</v>
      </c>
      <c r="C67" s="19" t="s">
        <v>473</v>
      </c>
      <c r="D67" s="20"/>
      <c r="E67" s="38"/>
      <c r="F67" s="21"/>
      <c r="G67" s="17"/>
      <c r="I67" s="93"/>
      <c r="J67" s="94"/>
    </row>
    <row r="68" spans="1:10" s="5" customFormat="1" ht="12" customHeight="1" x14ac:dyDescent="0.25">
      <c r="A68" s="31" t="s">
        <v>295</v>
      </c>
      <c r="B68" s="19" t="s">
        <v>411</v>
      </c>
      <c r="C68" s="19" t="s">
        <v>474</v>
      </c>
      <c r="D68" s="20"/>
      <c r="E68" s="38"/>
      <c r="F68" s="21"/>
      <c r="G68" s="17"/>
      <c r="I68" s="93"/>
      <c r="J68" s="94"/>
    </row>
    <row r="69" spans="1:10" s="5" customFormat="1" ht="12" customHeight="1" x14ac:dyDescent="0.25">
      <c r="A69" s="31" t="s">
        <v>296</v>
      </c>
      <c r="B69" s="19" t="s">
        <v>475</v>
      </c>
      <c r="C69" s="19" t="str">
        <f>'Ordering Period Prices'!B69</f>
        <v>EXCAVATE AND EXPORT SUBGRADE (100-2,500 CY)</v>
      </c>
      <c r="D69" s="20" t="str">
        <f>'Ordering Period Prices'!C69</f>
        <v>CY</v>
      </c>
      <c r="E69" s="38" t="e">
        <f>SUM(#REF!+#REF!+#REF!+#REF!+#REF!)</f>
        <v>#REF!</v>
      </c>
      <c r="F69" s="21" t="e">
        <f>SUM(#REF!+#REF!+#REF!+#REF!+#REF!)</f>
        <v>#REF!</v>
      </c>
      <c r="G69" s="17" t="e">
        <f>SUM(#REF!,#REF!,#REF!,#REF!,#REF!,#REF!)</f>
        <v>#REF!</v>
      </c>
      <c r="I69" s="56">
        <v>34509.382765000002</v>
      </c>
      <c r="J69" s="58" t="e">
        <f>F69/I69</f>
        <v>#REF!</v>
      </c>
    </row>
    <row r="70" spans="1:10" s="5" customFormat="1" ht="12" customHeight="1" x14ac:dyDescent="0.25">
      <c r="A70" s="31" t="s">
        <v>297</v>
      </c>
      <c r="B70" s="19" t="s">
        <v>475</v>
      </c>
      <c r="C70" s="19" t="str">
        <f>'Ordering Period Prices'!B70</f>
        <v>EXCAVATE AND EXPORT SUBGRADE (2,500+ CY)</v>
      </c>
      <c r="D70" s="20" t="str">
        <f>'Ordering Period Prices'!C70</f>
        <v>CY</v>
      </c>
      <c r="E70" s="38" t="e">
        <f>SUM(#REF!+#REF!+#REF!+#REF!+#REF!)</f>
        <v>#REF!</v>
      </c>
      <c r="F70" s="21" t="e">
        <f>SUM(#REF!+#REF!+#REF!+#REF!+#REF!)</f>
        <v>#REF!</v>
      </c>
      <c r="G70" s="17" t="e">
        <f>SUM(#REF!,#REF!,#REF!,#REF!,#REF!,#REF!)</f>
        <v>#REF!</v>
      </c>
      <c r="I70" s="56">
        <v>464549.38337499998</v>
      </c>
      <c r="J70" s="58" t="e">
        <f>F70/I70</f>
        <v>#REF!</v>
      </c>
    </row>
    <row r="71" spans="1:10" s="5" customFormat="1" ht="12" customHeight="1" x14ac:dyDescent="0.25">
      <c r="A71" s="183" t="str">
        <f>'Ordering Period Prices'!B71</f>
        <v>CONST. DRAINAGE STRUCTURES</v>
      </c>
      <c r="B71" s="169"/>
      <c r="C71" s="169"/>
      <c r="D71" s="169"/>
      <c r="E71" s="169"/>
      <c r="F71" s="170"/>
      <c r="G71" s="17" t="e">
        <f>SUM(#REF!,#REF!,#REF!,#REF!,#REF!,#REF!)</f>
        <v>#REF!</v>
      </c>
      <c r="I71" s="56"/>
      <c r="J71" s="58"/>
    </row>
    <row r="72" spans="1:10" s="5" customFormat="1" ht="12" customHeight="1" x14ac:dyDescent="0.25">
      <c r="A72" s="31" t="s">
        <v>298</v>
      </c>
      <c r="B72" s="19" t="s">
        <v>412</v>
      </c>
      <c r="C72" s="19" t="str">
        <f>'Ordering Period Prices'!B72</f>
        <v>CONSTRUCT DROP INLET</v>
      </c>
      <c r="D72" s="20" t="str">
        <f>'Ordering Period Prices'!C72</f>
        <v>EA</v>
      </c>
      <c r="E72" s="38" t="e">
        <f>SUM(#REF!+#REF!+#REF!+#REF!+#REF!)</f>
        <v>#REF!</v>
      </c>
      <c r="F72" s="21" t="e">
        <f>SUM(#REF!+#REF!+#REF!+#REF!+#REF!)</f>
        <v>#REF!</v>
      </c>
      <c r="G72" s="17" t="e">
        <f>SUM(#REF!,#REF!,#REF!,#REF!,#REF!,#REF!)</f>
        <v>#REF!</v>
      </c>
      <c r="I72" s="56">
        <v>11680.098782000001</v>
      </c>
      <c r="J72" s="58" t="e">
        <f t="shared" ref="J72:J78" si="2">F72/I72</f>
        <v>#REF!</v>
      </c>
    </row>
    <row r="73" spans="1:10" s="5" customFormat="1" ht="12" customHeight="1" x14ac:dyDescent="0.25">
      <c r="A73" s="31" t="s">
        <v>299</v>
      </c>
      <c r="B73" s="19" t="s">
        <v>413</v>
      </c>
      <c r="C73" s="19" t="str">
        <f>'Ordering Period Prices'!B73</f>
        <v>CONNECT DROP INLET</v>
      </c>
      <c r="D73" s="20" t="str">
        <f>'Ordering Period Prices'!C73</f>
        <v>LF</v>
      </c>
      <c r="E73" s="38" t="e">
        <f>SUM(#REF!+#REF!+#REF!+#REF!+#REF!)</f>
        <v>#REF!</v>
      </c>
      <c r="F73" s="21" t="e">
        <f>SUM(#REF!+#REF!+#REF!+#REF!+#REF!)</f>
        <v>#REF!</v>
      </c>
      <c r="G73" s="17" t="e">
        <f>SUM(#REF!,#REF!,#REF!,#REF!,#REF!,#REF!)</f>
        <v>#REF!</v>
      </c>
      <c r="I73" s="56">
        <v>14600.123477500001</v>
      </c>
      <c r="J73" s="58" t="e">
        <f t="shared" si="2"/>
        <v>#REF!</v>
      </c>
    </row>
    <row r="74" spans="1:10" s="5" customFormat="1" ht="12" customHeight="1" x14ac:dyDescent="0.25">
      <c r="A74" s="31" t="s">
        <v>300</v>
      </c>
      <c r="B74" s="19" t="s">
        <v>414</v>
      </c>
      <c r="C74" s="19" t="str">
        <f>'Ordering Period Prices'!B74</f>
        <v>INSTALL CONCRETE CULVERT (24" EQUIVALENT DIAMETER)</v>
      </c>
      <c r="D74" s="20" t="str">
        <f>'Ordering Period Prices'!C74</f>
        <v>LF</v>
      </c>
      <c r="E74" s="38" t="e">
        <f>SUM(#REF!+#REF!+#REF!+#REF!+#REF!)</f>
        <v>#REF!</v>
      </c>
      <c r="F74" s="21" t="e">
        <f>SUM(#REF!+#REF!+#REF!+#REF!+#REF!)</f>
        <v>#REF!</v>
      </c>
      <c r="G74" s="17" t="e">
        <f>SUM(#REF!,#REF!,#REF!,#REF!,#REF!,#REF!)</f>
        <v>#REF!</v>
      </c>
      <c r="I74" s="56">
        <v>14600.123477500001</v>
      </c>
      <c r="J74" s="58" t="e">
        <f t="shared" si="2"/>
        <v>#REF!</v>
      </c>
    </row>
    <row r="75" spans="1:10" s="5" customFormat="1" ht="12" customHeight="1" x14ac:dyDescent="0.25">
      <c r="A75" s="31" t="s">
        <v>301</v>
      </c>
      <c r="B75" s="19" t="s">
        <v>414</v>
      </c>
      <c r="C75" s="19" t="str">
        <f>'Ordering Period Prices'!B75</f>
        <v>INSTALL CONCRETE CULVERT (36" EQUIVALENT DIAMETER)</v>
      </c>
      <c r="D75" s="20" t="str">
        <f>'Ordering Period Prices'!C75</f>
        <v>LF</v>
      </c>
      <c r="E75" s="38" t="e">
        <f>SUM(#REF!+#REF!+#REF!+#REF!+#REF!)</f>
        <v>#REF!</v>
      </c>
      <c r="F75" s="21" t="e">
        <f>SUM(#REF!+#REF!+#REF!+#REF!+#REF!)</f>
        <v>#REF!</v>
      </c>
      <c r="G75" s="17" t="e">
        <f>SUM(#REF!,#REF!,#REF!,#REF!,#REF!,#REF!)</f>
        <v>#REF!</v>
      </c>
      <c r="I75" s="56">
        <v>21236.543240000003</v>
      </c>
      <c r="J75" s="58" t="e">
        <f t="shared" si="2"/>
        <v>#REF!</v>
      </c>
    </row>
    <row r="76" spans="1:10" s="5" customFormat="1" ht="12" customHeight="1" x14ac:dyDescent="0.25">
      <c r="A76" s="31" t="s">
        <v>37</v>
      </c>
      <c r="B76" s="19" t="s">
        <v>415</v>
      </c>
      <c r="C76" s="19" t="str">
        <f>'Ordering Period Prices'!B76</f>
        <v>CONSTRUCT HEADWALL WITH WINGS</v>
      </c>
      <c r="D76" s="20" t="str">
        <f>'Ordering Period Prices'!C76</f>
        <v>EA</v>
      </c>
      <c r="E76" s="38" t="e">
        <f>SUM(#REF!+#REF!+#REF!+#REF!+#REF!)</f>
        <v>#REF!</v>
      </c>
      <c r="F76" s="21" t="e">
        <f>SUM(#REF!+#REF!+#REF!+#REF!+#REF!)</f>
        <v>#REF!</v>
      </c>
      <c r="G76" s="17" t="e">
        <f>SUM(#REF!,#REF!,#REF!,#REF!,#REF!,#REF!)</f>
        <v>#REF!</v>
      </c>
      <c r="I76" s="56">
        <v>23891.111144999999</v>
      </c>
      <c r="J76" s="58" t="e">
        <f t="shared" si="2"/>
        <v>#REF!</v>
      </c>
    </row>
    <row r="77" spans="1:10" s="5" customFormat="1" ht="12" customHeight="1" x14ac:dyDescent="0.25">
      <c r="A77" s="31" t="s">
        <v>302</v>
      </c>
      <c r="B77" s="19" t="s">
        <v>416</v>
      </c>
      <c r="C77" s="19" t="str">
        <f>'Ordering Period Prices'!B77</f>
        <v>INSTALL 24" CMP</v>
      </c>
      <c r="D77" s="20" t="str">
        <f>'Ordering Period Prices'!C77</f>
        <v>LF</v>
      </c>
      <c r="E77" s="38" t="e">
        <f>SUM(#REF!+#REF!+#REF!+#REF!+#REF!)</f>
        <v>#REF!</v>
      </c>
      <c r="F77" s="21" t="e">
        <f>SUM(#REF!+#REF!+#REF!+#REF!+#REF!)</f>
        <v>#REF!</v>
      </c>
      <c r="G77" s="17" t="e">
        <f>SUM(#REF!,#REF!,#REF!,#REF!,#REF!,#REF!)</f>
        <v>#REF!</v>
      </c>
      <c r="I77" s="56">
        <v>14600.123477500001</v>
      </c>
      <c r="J77" s="58" t="e">
        <f t="shared" si="2"/>
        <v>#REF!</v>
      </c>
    </row>
    <row r="78" spans="1:10" s="5" customFormat="1" ht="12" customHeight="1" x14ac:dyDescent="0.25">
      <c r="A78" s="31" t="s">
        <v>303</v>
      </c>
      <c r="B78" s="19" t="s">
        <v>417</v>
      </c>
      <c r="C78" s="19" t="str">
        <f>'Ordering Period Prices'!B78</f>
        <v>INSTALL RIPRAP</v>
      </c>
      <c r="D78" s="20" t="str">
        <f>'Ordering Period Prices'!C78</f>
        <v>SF</v>
      </c>
      <c r="E78" s="38" t="e">
        <f>SUM(#REF!+#REF!+#REF!+#REF!+#REF!)</f>
        <v>#REF!</v>
      </c>
      <c r="F78" s="21" t="e">
        <f>SUM(#REF!+#REF!+#REF!+#REF!+#REF!)</f>
        <v>#REF!</v>
      </c>
      <c r="G78" s="17" t="e">
        <f>SUM(#REF!,#REF!,#REF!,#REF!,#REF!,#REF!)</f>
        <v>#REF!</v>
      </c>
      <c r="I78" s="59">
        <v>19909.259287499997</v>
      </c>
      <c r="J78" s="60" t="e">
        <f t="shared" si="2"/>
        <v>#REF!</v>
      </c>
    </row>
    <row r="79" spans="1:10" s="5" customFormat="1" ht="12" customHeight="1" x14ac:dyDescent="0.25">
      <c r="A79" s="183" t="str">
        <f>'Ordering Period Prices'!B79</f>
        <v>INSTALL UTILITY DUCTS</v>
      </c>
      <c r="B79" s="169"/>
      <c r="C79" s="169"/>
      <c r="D79" s="169"/>
      <c r="E79" s="169"/>
      <c r="F79" s="170"/>
      <c r="G79" s="17" t="e">
        <f>SUM(#REF!,#REF!,#REF!,#REF!,#REF!,#REF!)</f>
        <v>#REF!</v>
      </c>
      <c r="I79" s="56"/>
      <c r="J79" s="58"/>
    </row>
    <row r="80" spans="1:10" s="5" customFormat="1" ht="12" customHeight="1" x14ac:dyDescent="0.25">
      <c r="A80" s="31" t="s">
        <v>304</v>
      </c>
      <c r="B80" s="19" t="s">
        <v>418</v>
      </c>
      <c r="C80" s="19" t="str">
        <f>'Ordering Period Prices'!B80</f>
        <v>INSTALL 10" SLEEVE UNDER NEW PAVEMENT</v>
      </c>
      <c r="D80" s="20" t="str">
        <f>'Ordering Period Prices'!C80</f>
        <v>LF</v>
      </c>
      <c r="E80" s="38" t="e">
        <f>SUM(#REF!+#REF!+#REF!+#REF!+#REF!)</f>
        <v>#REF!</v>
      </c>
      <c r="F80" s="21" t="e">
        <f>SUM(#REF!+#REF!+#REF!+#REF!+#REF!)</f>
        <v>#REF!</v>
      </c>
      <c r="G80" s="17" t="e">
        <f>SUM(#REF!,#REF!,#REF!,#REF!,#REF!,#REF!)</f>
        <v>#REF!</v>
      </c>
      <c r="I80" s="56">
        <v>19909.259287500001</v>
      </c>
      <c r="J80" s="58" t="e">
        <f>F80/I80</f>
        <v>#REF!</v>
      </c>
    </row>
    <row r="81" spans="1:10" s="5" customFormat="1" ht="12" customHeight="1" x14ac:dyDescent="0.25">
      <c r="A81" s="31" t="s">
        <v>307</v>
      </c>
      <c r="B81" s="19" t="s">
        <v>419</v>
      </c>
      <c r="C81" s="19" t="str">
        <f>'Ordering Period Prices'!B81</f>
        <v>INSTALL 2-WAY POWER/COMM DUCT</v>
      </c>
      <c r="D81" s="20" t="str">
        <f>'Ordering Period Prices'!C81</f>
        <v>LF</v>
      </c>
      <c r="E81" s="38" t="e">
        <f>SUM(#REF!+#REF!+#REF!+#REF!+#REF!)</f>
        <v>#REF!</v>
      </c>
      <c r="F81" s="21" t="e">
        <f>SUM(#REF!+#REF!+#REF!+#REF!+#REF!)</f>
        <v>#REF!</v>
      </c>
      <c r="G81" s="17" t="e">
        <f>SUM(#REF!,#REF!,#REF!,#REF!,#REF!,#REF!)</f>
        <v>#REF!</v>
      </c>
      <c r="I81" s="56">
        <v>21236.543240000003</v>
      </c>
      <c r="J81" s="58" t="e">
        <f>F81/I81</f>
        <v>#REF!</v>
      </c>
    </row>
    <row r="82" spans="1:10" s="5" customFormat="1" ht="12" customHeight="1" x14ac:dyDescent="0.25">
      <c r="A82" s="31" t="s">
        <v>306</v>
      </c>
      <c r="B82" s="19" t="s">
        <v>420</v>
      </c>
      <c r="C82" s="19" t="str">
        <f>'Ordering Period Prices'!B82</f>
        <v>INSTALL 4-WAY POWER/COMM DUCT</v>
      </c>
      <c r="D82" s="20" t="str">
        <f>'Ordering Period Prices'!C82</f>
        <v>LF</v>
      </c>
      <c r="E82" s="38" t="e">
        <f>SUM(#REF!+#REF!+#REF!+#REF!+#REF!)</f>
        <v>#REF!</v>
      </c>
      <c r="F82" s="21" t="e">
        <f>SUM(#REF!+#REF!+#REF!+#REF!+#REF!)</f>
        <v>#REF!</v>
      </c>
      <c r="G82" s="17" t="e">
        <f>SUM(#REF!,#REF!,#REF!,#REF!,#REF!,#REF!)</f>
        <v>#REF!</v>
      </c>
      <c r="I82" s="56">
        <v>26545.679050000002</v>
      </c>
      <c r="J82" s="58" t="e">
        <f>F82/I82</f>
        <v>#REF!</v>
      </c>
    </row>
    <row r="83" spans="1:10" s="5" customFormat="1" ht="12" customHeight="1" x14ac:dyDescent="0.25">
      <c r="A83" s="95"/>
      <c r="B83" s="96" t="s">
        <v>421</v>
      </c>
      <c r="C83" s="96" t="s">
        <v>423</v>
      </c>
      <c r="D83" s="106" t="str">
        <f>'Ordering Period Prices'!C84</f>
        <v>LF</v>
      </c>
      <c r="E83" s="107" t="e">
        <f>SUM(#REF!+#REF!+#REF!+#REF!+#REF!)</f>
        <v>#REF!</v>
      </c>
      <c r="F83" s="99" t="e">
        <f>SUM(#REF!+#REF!+#REF!+#REF!+#REF!)</f>
        <v>#REF!</v>
      </c>
      <c r="G83" s="17"/>
      <c r="I83" s="93"/>
      <c r="J83" s="94"/>
    </row>
    <row r="84" spans="1:10" s="5" customFormat="1" ht="12" customHeight="1" x14ac:dyDescent="0.25">
      <c r="A84" s="31" t="s">
        <v>305</v>
      </c>
      <c r="B84" s="19" t="s">
        <v>422</v>
      </c>
      <c r="C84" s="19" t="str">
        <f>'Ordering Period Prices'!B84</f>
        <v>INSTALL 6" DIRECT BURIED DUCT</v>
      </c>
      <c r="D84" s="20" t="str">
        <f>'Ordering Period Prices'!C84</f>
        <v>LF</v>
      </c>
      <c r="E84" s="38" t="e">
        <f>SUM(#REF!+#REF!+#REF!+#REF!+#REF!)</f>
        <v>#REF!</v>
      </c>
      <c r="F84" s="21" t="e">
        <f>SUM(#REF!+#REF!+#REF!+#REF!+#REF!)</f>
        <v>#REF!</v>
      </c>
      <c r="G84" s="17" t="e">
        <f>SUM(#REF!,#REF!,#REF!,#REF!,#REF!,#REF!)</f>
        <v>#REF!</v>
      </c>
      <c r="I84" s="56">
        <v>6636.4197625000006</v>
      </c>
      <c r="J84" s="58" t="e">
        <f>F84/I84</f>
        <v>#REF!</v>
      </c>
    </row>
    <row r="85" spans="1:10" s="5" customFormat="1" ht="12" customHeight="1" x14ac:dyDescent="0.25">
      <c r="A85" s="31" t="s">
        <v>308</v>
      </c>
      <c r="B85" s="19" t="s">
        <v>424</v>
      </c>
      <c r="C85" s="19" t="str">
        <f>'Ordering Period Prices'!B85</f>
        <v>INSTALL DUCT MARKERS</v>
      </c>
      <c r="D85" s="20" t="str">
        <f>'Ordering Period Prices'!C85</f>
        <v>EA</v>
      </c>
      <c r="E85" s="38" t="e">
        <f>SUM(#REF!+#REF!+#REF!+#REF!+#REF!)</f>
        <v>#REF!</v>
      </c>
      <c r="F85" s="21" t="e">
        <f>SUM(#REF!+#REF!+#REF!+#REF!+#REF!)</f>
        <v>#REF!</v>
      </c>
      <c r="G85" s="17" t="e">
        <f>SUM(#REF!,#REF!,#REF!,#REF!,#REF!,#REF!)</f>
        <v>#REF!</v>
      </c>
      <c r="I85" s="56">
        <v>1327.2839525000002</v>
      </c>
      <c r="J85" s="58" t="e">
        <f>F85/I85</f>
        <v>#REF!</v>
      </c>
    </row>
    <row r="86" spans="1:10" s="5" customFormat="1" ht="12" customHeight="1" x14ac:dyDescent="0.25">
      <c r="A86" s="183" t="str">
        <f>'Ordering Period Prices'!B86</f>
        <v>ADJUST UTILITY ITEMS</v>
      </c>
      <c r="B86" s="169"/>
      <c r="C86" s="169"/>
      <c r="D86" s="169"/>
      <c r="E86" s="169"/>
      <c r="F86" s="170"/>
      <c r="G86" s="17" t="e">
        <f>SUM(#REF!,#REF!,#REF!,#REF!,#REF!,#REF!)</f>
        <v>#REF!</v>
      </c>
      <c r="I86" s="56"/>
      <c r="J86" s="58"/>
    </row>
    <row r="87" spans="1:10" s="5" customFormat="1" ht="12" customHeight="1" x14ac:dyDescent="0.25">
      <c r="A87" s="31" t="s">
        <v>309</v>
      </c>
      <c r="B87" s="19" t="s">
        <v>425</v>
      </c>
      <c r="C87" s="19" t="str">
        <f>'Ordering Period Prices'!B87</f>
        <v>ADJUST WATER VALVE COVER TO GRADE</v>
      </c>
      <c r="D87" s="20" t="str">
        <f>'Ordering Period Prices'!C87</f>
        <v>EA</v>
      </c>
      <c r="E87" s="38" t="e">
        <f>SUM(#REF!+#REF!+#REF!+#REF!+#REF!)</f>
        <v>#REF!</v>
      </c>
      <c r="F87" s="21" t="e">
        <f>SUM(#REF!+#REF!+#REF!+#REF!+#REF!)</f>
        <v>#REF!</v>
      </c>
      <c r="G87" s="17" t="e">
        <f>SUM(#REF!,#REF!,#REF!,#REF!,#REF!,#REF!)</f>
        <v>#REF!</v>
      </c>
      <c r="I87" s="56">
        <v>6636.4197625000006</v>
      </c>
      <c r="J87" s="58" t="e">
        <f>F87/I87</f>
        <v>#REF!</v>
      </c>
    </row>
    <row r="88" spans="1:10" s="5" customFormat="1" ht="12" customHeight="1" x14ac:dyDescent="0.25">
      <c r="A88" s="31" t="s">
        <v>310</v>
      </c>
      <c r="B88" s="19" t="s">
        <v>426</v>
      </c>
      <c r="C88" s="19" t="str">
        <f>'Ordering Period Prices'!B88</f>
        <v>ADJUST MANHOLE COVER TO GRADE</v>
      </c>
      <c r="D88" s="20" t="str">
        <f>'Ordering Period Prices'!C88</f>
        <v>EA</v>
      </c>
      <c r="E88" s="38" t="e">
        <f>SUM(#REF!+#REF!+#REF!+#REF!+#REF!)</f>
        <v>#REF!</v>
      </c>
      <c r="F88" s="21" t="e">
        <f>SUM(#REF!+#REF!+#REF!+#REF!+#REF!)</f>
        <v>#REF!</v>
      </c>
      <c r="G88" s="17" t="e">
        <f>SUM(#REF!,#REF!,#REF!,#REF!,#REF!,#REF!)</f>
        <v>#REF!</v>
      </c>
      <c r="I88" s="56">
        <v>33182.0988125</v>
      </c>
      <c r="J88" s="58" t="e">
        <f>F88/I88</f>
        <v>#REF!</v>
      </c>
    </row>
    <row r="89" spans="1:10" s="5" customFormat="1" ht="12" customHeight="1" x14ac:dyDescent="0.25">
      <c r="A89" s="31" t="s">
        <v>500</v>
      </c>
      <c r="B89" s="19" t="s">
        <v>427</v>
      </c>
      <c r="C89" s="19" t="str">
        <f>'Ordering Period Prices'!B89</f>
        <v>REPLACE ELECTRICAL BOX</v>
      </c>
      <c r="D89" s="20" t="str">
        <f>'Ordering Period Prices'!C89</f>
        <v>EA</v>
      </c>
      <c r="E89" s="38" t="e">
        <f>SUM(#REF!+#REF!+#REF!+#REF!+#REF!)</f>
        <v>#REF!</v>
      </c>
      <c r="F89" s="21" t="e">
        <f>SUM(#REF!+#REF!+#REF!+#REF!+#REF!)</f>
        <v>#REF!</v>
      </c>
      <c r="G89" s="17" t="e">
        <f>SUM(#REF!,#REF!,#REF!,#REF!,#REF!,#REF!)</f>
        <v>#REF!</v>
      </c>
      <c r="I89" s="56">
        <v>10618.271620000001</v>
      </c>
      <c r="J89" s="58" t="e">
        <f>F89/I89</f>
        <v>#REF!</v>
      </c>
    </row>
    <row r="90" spans="1:10" s="5" customFormat="1" ht="12" customHeight="1" x14ac:dyDescent="0.25">
      <c r="A90" s="31" t="s">
        <v>311</v>
      </c>
      <c r="B90" s="19" t="s">
        <v>428</v>
      </c>
      <c r="C90" s="19" t="str">
        <f>'Ordering Period Prices'!B90</f>
        <v>RELOCATE FIRE HYDRANT</v>
      </c>
      <c r="D90" s="20" t="str">
        <f>'Ordering Period Prices'!C90</f>
        <v>EA</v>
      </c>
      <c r="E90" s="38" t="e">
        <f>SUM(#REF!+#REF!+#REF!+#REF!+#REF!)</f>
        <v>#REF!</v>
      </c>
      <c r="F90" s="21" t="e">
        <f>SUM(#REF!+#REF!+#REF!+#REF!+#REF!)</f>
        <v>#REF!</v>
      </c>
      <c r="G90" s="17" t="e">
        <f>SUM(#REF!,#REF!,#REF!,#REF!,#REF!,#REF!)</f>
        <v>#REF!</v>
      </c>
      <c r="I90" s="56">
        <v>42473.086480000005</v>
      </c>
      <c r="J90" s="58" t="e">
        <f>F90/I90</f>
        <v>#REF!</v>
      </c>
    </row>
    <row r="91" spans="1:10" s="5" customFormat="1" ht="12" customHeight="1" x14ac:dyDescent="0.25">
      <c r="A91" s="101"/>
      <c r="B91" s="102" t="s">
        <v>432</v>
      </c>
      <c r="C91" s="102" t="s">
        <v>431</v>
      </c>
      <c r="D91" s="103" t="s">
        <v>8</v>
      </c>
      <c r="E91" s="104"/>
      <c r="F91" s="105"/>
      <c r="G91" s="17"/>
      <c r="I91" s="93"/>
      <c r="J91" s="94"/>
    </row>
    <row r="92" spans="1:10" s="5" customFormat="1" ht="12" customHeight="1" x14ac:dyDescent="0.25">
      <c r="A92" s="183" t="str">
        <f>'Ordering Period Prices'!B92</f>
        <v>PLACE PAVEMENT MARKINGS</v>
      </c>
      <c r="B92" s="169"/>
      <c r="C92" s="169"/>
      <c r="D92" s="169"/>
      <c r="E92" s="169"/>
      <c r="F92" s="170"/>
      <c r="G92" s="17" t="e">
        <f>SUM(#REF!,#REF!,#REF!,#REF!,#REF!,#REF!)</f>
        <v>#REF!</v>
      </c>
      <c r="I92" s="56"/>
      <c r="J92" s="58"/>
    </row>
    <row r="93" spans="1:10" s="5" customFormat="1" ht="12" customHeight="1" x14ac:dyDescent="0.25">
      <c r="A93" s="31" t="s">
        <v>312</v>
      </c>
      <c r="B93" s="19" t="s">
        <v>429</v>
      </c>
      <c r="C93" s="19" t="str">
        <f>'Ordering Period Prices'!B93</f>
        <v>PLACE TRAFFIC STRIPING (500+ SF)</v>
      </c>
      <c r="D93" s="20" t="str">
        <f>'Ordering Period Prices'!C93</f>
        <v>SF</v>
      </c>
      <c r="E93" s="38" t="e">
        <f>SUM(#REF!+#REF!+#REF!+#REF!+#REF!)</f>
        <v>#REF!</v>
      </c>
      <c r="F93" s="21" t="e">
        <f>SUM(#REF!+#REF!+#REF!+#REF!+#REF!)</f>
        <v>#REF!</v>
      </c>
      <c r="G93" s="17" t="e">
        <f>SUM(#REF!,#REF!,#REF!,#REF!,#REF!,#REF!)</f>
        <v>#REF!</v>
      </c>
      <c r="I93" s="56">
        <v>2654.5679049999999</v>
      </c>
      <c r="J93" s="58" t="e">
        <f t="shared" ref="J93:J102" si="3">F93/I93</f>
        <v>#REF!</v>
      </c>
    </row>
    <row r="94" spans="1:10" s="5" customFormat="1" ht="12" customHeight="1" x14ac:dyDescent="0.25">
      <c r="A94" s="31" t="s">
        <v>313</v>
      </c>
      <c r="B94" s="19" t="s">
        <v>433</v>
      </c>
      <c r="C94" s="19" t="str">
        <f>'Ordering Period Prices'!B94</f>
        <v>REMOVE PAINT</v>
      </c>
      <c r="D94" s="20" t="str">
        <f>'Ordering Period Prices'!C94</f>
        <v>SF</v>
      </c>
      <c r="E94" s="38" t="e">
        <f>SUM(#REF!+#REF!+#REF!+#REF!+#REF!)</f>
        <v>#REF!</v>
      </c>
      <c r="F94" s="21" t="e">
        <f>SUM(#REF!+#REF!+#REF!+#REF!+#REF!)</f>
        <v>#REF!</v>
      </c>
      <c r="G94" s="17" t="e">
        <f>SUM(#REF!,#REF!,#REF!,#REF!,#REF!,#REF!)</f>
        <v>#REF!</v>
      </c>
      <c r="I94" s="56">
        <v>10618.27162</v>
      </c>
      <c r="J94" s="58" t="e">
        <f t="shared" si="3"/>
        <v>#REF!</v>
      </c>
    </row>
    <row r="95" spans="1:10" s="5" customFormat="1" ht="12" customHeight="1" x14ac:dyDescent="0.25">
      <c r="A95" s="31" t="s">
        <v>314</v>
      </c>
      <c r="B95" s="19" t="s">
        <v>434</v>
      </c>
      <c r="C95" s="19" t="str">
        <f>'Ordering Period Prices'!B95</f>
        <v>INSTALL TRAFFIC TAPE (100+ SF)</v>
      </c>
      <c r="D95" s="20" t="str">
        <f>'Ordering Period Prices'!C95</f>
        <v>SF</v>
      </c>
      <c r="E95" s="38" t="e">
        <f>SUM(#REF!+#REF!+#REF!+#REF!+#REF!)</f>
        <v>#REF!</v>
      </c>
      <c r="F95" s="21" t="e">
        <f>SUM(#REF!+#REF!+#REF!+#REF!+#REF!)</f>
        <v>#REF!</v>
      </c>
      <c r="G95" s="17" t="e">
        <f>SUM(#REF!,#REF!,#REF!,#REF!,#REF!,#REF!)</f>
        <v>#REF!</v>
      </c>
      <c r="I95" s="56">
        <v>5840.0493910000005</v>
      </c>
      <c r="J95" s="58" t="e">
        <f t="shared" si="3"/>
        <v>#REF!</v>
      </c>
    </row>
    <row r="96" spans="1:10" s="5" customFormat="1" ht="12" customHeight="1" x14ac:dyDescent="0.25">
      <c r="A96" s="31" t="s">
        <v>315</v>
      </c>
      <c r="B96" s="19" t="s">
        <v>435</v>
      </c>
      <c r="C96" s="19" t="str">
        <f>'Ordering Period Prices'!B96</f>
        <v>INSTALL CERAMIC TRAFFIC BUTTONS (100+)</v>
      </c>
      <c r="D96" s="20" t="str">
        <f>'Ordering Period Prices'!C96</f>
        <v>EA</v>
      </c>
      <c r="E96" s="38" t="e">
        <f>SUM(#REF!+#REF!+#REF!+#REF!+#REF!)</f>
        <v>#REF!</v>
      </c>
      <c r="F96" s="21" t="e">
        <f>SUM(#REF!+#REF!+#REF!+#REF!+#REF!)</f>
        <v>#REF!</v>
      </c>
      <c r="G96" s="17" t="e">
        <f>SUM(#REF!,#REF!,#REF!,#REF!,#REF!,#REF!)</f>
        <v>#REF!</v>
      </c>
      <c r="I96" s="56">
        <v>2654.5679050000003</v>
      </c>
      <c r="J96" s="58" t="e">
        <f t="shared" si="3"/>
        <v>#REF!</v>
      </c>
    </row>
    <row r="97" spans="1:10" s="5" customFormat="1" ht="12" customHeight="1" x14ac:dyDescent="0.25">
      <c r="A97" s="31" t="s">
        <v>501</v>
      </c>
      <c r="B97" s="19" t="s">
        <v>436</v>
      </c>
      <c r="C97" s="19" t="str">
        <f>'Ordering Period Prices'!B97</f>
        <v>INSTALL REFLECTIVE TRAFFIC MARKERS</v>
      </c>
      <c r="D97" s="20" t="str">
        <f>'Ordering Period Prices'!C97</f>
        <v>EA</v>
      </c>
      <c r="E97" s="38" t="e">
        <f>SUM(#REF!+#REF!+#REF!+#REF!+#REF!)</f>
        <v>#REF!</v>
      </c>
      <c r="F97" s="21" t="e">
        <f>SUM(#REF!+#REF!+#REF!+#REF!+#REF!)</f>
        <v>#REF!</v>
      </c>
      <c r="G97" s="17" t="e">
        <f>SUM(#REF!,#REF!,#REF!,#REF!,#REF!,#REF!)</f>
        <v>#REF!</v>
      </c>
      <c r="I97" s="56">
        <v>2389.1111145</v>
      </c>
      <c r="J97" s="58" t="e">
        <f t="shared" si="3"/>
        <v>#REF!</v>
      </c>
    </row>
    <row r="98" spans="1:10" s="5" customFormat="1" ht="12" customHeight="1" x14ac:dyDescent="0.25">
      <c r="A98" s="31" t="s">
        <v>316</v>
      </c>
      <c r="B98" s="19" t="s">
        <v>437</v>
      </c>
      <c r="C98" s="19" t="str">
        <f>'Ordering Period Prices'!B98</f>
        <v>REMOVE TRAFFIC BUTTONS/MARKERS</v>
      </c>
      <c r="D98" s="20" t="str">
        <f>'Ordering Period Prices'!C98</f>
        <v>EA</v>
      </c>
      <c r="E98" s="38" t="e">
        <f>SUM(#REF!+#REF!+#REF!+#REF!+#REF!)</f>
        <v>#REF!</v>
      </c>
      <c r="F98" s="21" t="e">
        <f>SUM(#REF!+#REF!+#REF!+#REF!+#REF!)</f>
        <v>#REF!</v>
      </c>
      <c r="G98" s="18"/>
      <c r="I98" s="56">
        <v>1061.827162</v>
      </c>
      <c r="J98" s="58" t="e">
        <f t="shared" si="3"/>
        <v>#REF!</v>
      </c>
    </row>
    <row r="99" spans="1:10" s="5" customFormat="1" ht="12" customHeight="1" x14ac:dyDescent="0.25">
      <c r="A99" s="31" t="s">
        <v>317</v>
      </c>
      <c r="B99" s="19" t="s">
        <v>438</v>
      </c>
      <c r="C99" s="19" t="str">
        <f>'Ordering Period Prices'!B99</f>
        <v>INSTALL LARGE REFLECTIVE TRAFFIC MARKERS</v>
      </c>
      <c r="D99" s="20" t="str">
        <f>'Ordering Period Prices'!C99</f>
        <v>EA</v>
      </c>
      <c r="E99" s="38" t="e">
        <f>SUM(#REF!+#REF!+#REF!+#REF!+#REF!)</f>
        <v>#REF!</v>
      </c>
      <c r="F99" s="21" t="e">
        <f>SUM(#REF!+#REF!+#REF!+#REF!+#REF!)</f>
        <v>#REF!</v>
      </c>
      <c r="G99" s="17" t="e">
        <f>SUM(#REF!,#REF!,#REF!,#REF!,#REF!,#REF!)</f>
        <v>#REF!</v>
      </c>
      <c r="I99" s="56">
        <v>1592.7407429999998</v>
      </c>
      <c r="J99" s="58" t="e">
        <f t="shared" si="3"/>
        <v>#REF!</v>
      </c>
    </row>
    <row r="100" spans="1:10" s="5" customFormat="1" ht="12" customHeight="1" x14ac:dyDescent="0.25">
      <c r="A100" s="31" t="s">
        <v>318</v>
      </c>
      <c r="B100" s="19" t="s">
        <v>439</v>
      </c>
      <c r="C100" s="19" t="str">
        <f>'Ordering Period Prices'!B100</f>
        <v>INSTALL REFLECTIVE ROADWAY DELINEATORS</v>
      </c>
      <c r="D100" s="20" t="str">
        <f>'Ordering Period Prices'!C100</f>
        <v>EA</v>
      </c>
      <c r="E100" s="38" t="e">
        <f>SUM(#REF!+#REF!+#REF!+#REF!+#REF!)</f>
        <v>#REF!</v>
      </c>
      <c r="F100" s="21" t="e">
        <f>SUM(#REF!+#REF!+#REF!+#REF!+#REF!)</f>
        <v>#REF!</v>
      </c>
      <c r="G100" s="17" t="e">
        <f>SUM(#REF!,#REF!,#REF!,#REF!,#REF!,#REF!)</f>
        <v>#REF!</v>
      </c>
      <c r="I100" s="56">
        <v>6901.8765529999991</v>
      </c>
      <c r="J100" s="58" t="e">
        <f t="shared" si="3"/>
        <v>#REF!</v>
      </c>
    </row>
    <row r="101" spans="1:10" s="5" customFormat="1" ht="12" customHeight="1" x14ac:dyDescent="0.25">
      <c r="A101" s="31" t="s">
        <v>319</v>
      </c>
      <c r="B101" s="19" t="s">
        <v>440</v>
      </c>
      <c r="C101" s="19" t="str">
        <f>'Ordering Period Prices'!B101</f>
        <v>PLACE AIRFIELD REFLECTIVE STRIPING (500+ SF)</v>
      </c>
      <c r="D101" s="20" t="str">
        <f>'Ordering Period Prices'!C101</f>
        <v>SF</v>
      </c>
      <c r="E101" s="38" t="e">
        <f>SUM(#REF!+#REF!+#REF!+#REF!+#REF!)</f>
        <v>#REF!</v>
      </c>
      <c r="F101" s="21" t="e">
        <f>SUM(#REF!+#REF!+#REF!+#REF!+#REF!)</f>
        <v>#REF!</v>
      </c>
      <c r="G101" s="17" t="e">
        <f>SUM(#REF!,#REF!,#REF!,#REF!,#REF!,#REF!)</f>
        <v>#REF!</v>
      </c>
      <c r="I101" s="56">
        <v>5309.1358099999998</v>
      </c>
      <c r="J101" s="58" t="e">
        <f t="shared" si="3"/>
        <v>#REF!</v>
      </c>
    </row>
    <row r="102" spans="1:10" s="5" customFormat="1" ht="12" customHeight="1" x14ac:dyDescent="0.25">
      <c r="A102" s="31" t="s">
        <v>320</v>
      </c>
      <c r="B102" s="19" t="s">
        <v>441</v>
      </c>
      <c r="C102" s="19" t="str">
        <f>'Ordering Period Prices'!B102</f>
        <v>PLACE BLACK PAINT</v>
      </c>
      <c r="D102" s="20" t="str">
        <f>'Ordering Period Prices'!C102</f>
        <v>SF</v>
      </c>
      <c r="E102" s="38" t="e">
        <f>SUM(#REF!+#REF!+#REF!+#REF!+#REF!)</f>
        <v>#REF!</v>
      </c>
      <c r="F102" s="21" t="e">
        <f>SUM(#REF!+#REF!+#REF!+#REF!+#REF!)</f>
        <v>#REF!</v>
      </c>
      <c r="G102" s="17" t="e">
        <f>SUM(#REF!,#REF!,#REF!,#REF!,#REF!,#REF!)</f>
        <v>#REF!</v>
      </c>
      <c r="I102" s="56">
        <v>5309.1358099999998</v>
      </c>
      <c r="J102" s="58" t="e">
        <f t="shared" si="3"/>
        <v>#REF!</v>
      </c>
    </row>
    <row r="103" spans="1:10" s="5" customFormat="1" ht="12" customHeight="1" x14ac:dyDescent="0.25">
      <c r="A103" s="101" t="s">
        <v>321</v>
      </c>
      <c r="B103" s="102" t="s">
        <v>444</v>
      </c>
      <c r="C103" s="102" t="s">
        <v>442</v>
      </c>
      <c r="D103" s="103" t="s">
        <v>8</v>
      </c>
      <c r="E103" s="104"/>
      <c r="F103" s="105"/>
      <c r="G103" s="17"/>
      <c r="I103" s="93"/>
      <c r="J103" s="94"/>
    </row>
    <row r="104" spans="1:10" s="5" customFormat="1" ht="12" customHeight="1" x14ac:dyDescent="0.25">
      <c r="A104" s="108" t="s">
        <v>322</v>
      </c>
      <c r="B104" s="109" t="s">
        <v>445</v>
      </c>
      <c r="C104" s="109" t="s">
        <v>443</v>
      </c>
      <c r="D104" s="110" t="s">
        <v>446</v>
      </c>
      <c r="E104" s="111"/>
      <c r="F104" s="112"/>
      <c r="G104" s="17"/>
      <c r="I104" s="93"/>
      <c r="J104" s="94"/>
    </row>
    <row r="105" spans="1:10" s="5" customFormat="1" ht="12" customHeight="1" x14ac:dyDescent="0.25">
      <c r="A105" s="184" t="s">
        <v>358</v>
      </c>
      <c r="B105" s="185"/>
      <c r="C105" s="185"/>
      <c r="D105" s="186"/>
      <c r="E105" s="186"/>
      <c r="F105" s="186"/>
      <c r="G105" s="187"/>
      <c r="I105" s="56"/>
      <c r="J105" s="58"/>
    </row>
    <row r="106" spans="1:10" s="5" customFormat="1" ht="12" customHeight="1" x14ac:dyDescent="0.25">
      <c r="A106" s="63" t="s">
        <v>323</v>
      </c>
      <c r="B106" s="62" t="s">
        <v>447</v>
      </c>
      <c r="C106" s="61" t="s">
        <v>357</v>
      </c>
      <c r="D106" s="65" t="s">
        <v>13</v>
      </c>
      <c r="E106" s="140"/>
      <c r="F106" s="65"/>
      <c r="G106" s="64">
        <f t="shared" ref="G106:G111" si="4">E106*F106</f>
        <v>0</v>
      </c>
      <c r="I106" s="93"/>
      <c r="J106" s="94"/>
    </row>
    <row r="107" spans="1:10" s="5" customFormat="1" ht="12" customHeight="1" x14ac:dyDescent="0.25">
      <c r="A107" s="63" t="s">
        <v>324</v>
      </c>
      <c r="B107" s="62" t="s">
        <v>447</v>
      </c>
      <c r="C107" s="61" t="s">
        <v>356</v>
      </c>
      <c r="D107" s="65" t="s">
        <v>13</v>
      </c>
      <c r="E107" s="140"/>
      <c r="F107" s="65"/>
      <c r="G107" s="64">
        <f t="shared" si="4"/>
        <v>0</v>
      </c>
      <c r="I107" s="93"/>
      <c r="J107" s="94"/>
    </row>
    <row r="108" spans="1:10" s="5" customFormat="1" ht="12" customHeight="1" x14ac:dyDescent="0.25">
      <c r="A108" s="63" t="s">
        <v>325</v>
      </c>
      <c r="B108" s="62" t="s">
        <v>449</v>
      </c>
      <c r="C108" s="61" t="s">
        <v>355</v>
      </c>
      <c r="D108" s="65" t="s">
        <v>13</v>
      </c>
      <c r="E108" s="140"/>
      <c r="F108" s="65"/>
      <c r="G108" s="64">
        <f t="shared" si="4"/>
        <v>0</v>
      </c>
      <c r="I108" s="93"/>
      <c r="J108" s="94"/>
    </row>
    <row r="109" spans="1:10" s="5" customFormat="1" ht="12" customHeight="1" x14ac:dyDescent="0.25">
      <c r="A109" s="63" t="s">
        <v>326</v>
      </c>
      <c r="B109" s="62" t="s">
        <v>449</v>
      </c>
      <c r="C109" s="61" t="s">
        <v>354</v>
      </c>
      <c r="D109" s="65" t="s">
        <v>13</v>
      </c>
      <c r="E109" s="140"/>
      <c r="F109" s="65"/>
      <c r="G109" s="64">
        <f t="shared" si="4"/>
        <v>0</v>
      </c>
      <c r="I109" s="93"/>
      <c r="J109" s="94"/>
    </row>
    <row r="110" spans="1:10" s="5" customFormat="1" ht="12" customHeight="1" x14ac:dyDescent="0.25">
      <c r="A110" s="63" t="s">
        <v>8</v>
      </c>
      <c r="B110" s="62" t="s">
        <v>450</v>
      </c>
      <c r="C110" s="61" t="s">
        <v>353</v>
      </c>
      <c r="D110" s="65" t="s">
        <v>13</v>
      </c>
      <c r="E110" s="140"/>
      <c r="F110" s="65"/>
      <c r="G110" s="64">
        <f t="shared" si="4"/>
        <v>0</v>
      </c>
      <c r="I110" s="93"/>
      <c r="J110" s="94"/>
    </row>
    <row r="111" spans="1:10" s="5" customFormat="1" ht="12" customHeight="1" x14ac:dyDescent="0.25">
      <c r="A111" s="63" t="s">
        <v>327</v>
      </c>
      <c r="B111" s="62" t="s">
        <v>450</v>
      </c>
      <c r="C111" s="61" t="s">
        <v>352</v>
      </c>
      <c r="D111" s="65" t="s">
        <v>13</v>
      </c>
      <c r="E111" s="140"/>
      <c r="F111" s="65"/>
      <c r="G111" s="64">
        <f t="shared" si="4"/>
        <v>0</v>
      </c>
      <c r="I111" s="93"/>
      <c r="J111" s="94"/>
    </row>
    <row r="112" spans="1:10" s="5" customFormat="1" ht="12" customHeight="1" x14ac:dyDescent="0.25">
      <c r="A112" s="183" t="s">
        <v>448</v>
      </c>
      <c r="B112" s="169"/>
      <c r="C112" s="169"/>
      <c r="D112" s="169"/>
      <c r="E112" s="169"/>
      <c r="F112" s="170"/>
      <c r="G112" s="17"/>
      <c r="I112" s="56"/>
      <c r="J112" s="58"/>
    </row>
    <row r="113" spans="1:10" s="5" customFormat="1" ht="12" customHeight="1" x14ac:dyDescent="0.25">
      <c r="A113" s="130" t="s">
        <v>328</v>
      </c>
      <c r="B113" s="90" t="s">
        <v>451</v>
      </c>
      <c r="C113" s="122" t="s">
        <v>476</v>
      </c>
      <c r="D113" s="90" t="s">
        <v>6</v>
      </c>
      <c r="E113" s="91"/>
      <c r="F113" s="92"/>
      <c r="G113" s="17"/>
      <c r="I113" s="93"/>
      <c r="J113" s="94"/>
    </row>
    <row r="114" spans="1:10" s="5" customFormat="1" ht="12" customHeight="1" x14ac:dyDescent="0.25">
      <c r="A114" s="130" t="s">
        <v>329</v>
      </c>
      <c r="B114" s="90" t="s">
        <v>452</v>
      </c>
      <c r="C114" s="122" t="s">
        <v>477</v>
      </c>
      <c r="D114" s="90" t="s">
        <v>6</v>
      </c>
      <c r="E114" s="91"/>
      <c r="F114" s="92"/>
      <c r="G114" s="17"/>
      <c r="I114" s="93"/>
      <c r="J114" s="94"/>
    </row>
    <row r="115" spans="1:10" s="5" customFormat="1" ht="12" customHeight="1" x14ac:dyDescent="0.25">
      <c r="A115" s="183" t="str">
        <f>'Ordering Period Prices'!B112</f>
        <v>MICELLANEOUS</v>
      </c>
      <c r="B115" s="169"/>
      <c r="C115" s="169"/>
      <c r="D115" s="169"/>
      <c r="E115" s="169"/>
      <c r="F115" s="170"/>
      <c r="G115" s="17" t="e">
        <f>SUM(#REF!,#REF!,#REF!,#REF!,#REF!,#REF!)</f>
        <v>#REF!</v>
      </c>
      <c r="I115" s="56"/>
      <c r="J115" s="58"/>
    </row>
    <row r="116" spans="1:10" s="5" customFormat="1" ht="12" customHeight="1" x14ac:dyDescent="0.25">
      <c r="A116" s="31" t="s">
        <v>330</v>
      </c>
      <c r="B116" s="19" t="s">
        <v>453</v>
      </c>
      <c r="C116" s="19" t="str">
        <f>'Ordering Period Prices'!B113</f>
        <v>INSTALL TRAFFIC CONTROL SIGN (up to 800 sq in)</v>
      </c>
      <c r="D116" s="20" t="str">
        <f>'Ordering Period Prices'!C113</f>
        <v>EA</v>
      </c>
      <c r="E116" s="38" t="e">
        <f>SUM(#REF!+#REF!+#REF!+#REF!+#REF!)</f>
        <v>#REF!</v>
      </c>
      <c r="F116" s="21" t="e">
        <f>SUM(#REF!+#REF!+#REF!+#REF!+#REF!)</f>
        <v>#REF!</v>
      </c>
      <c r="G116" s="17"/>
      <c r="I116" s="56">
        <v>37163.950669999998</v>
      </c>
      <c r="J116" s="58" t="e">
        <f t="shared" ref="J116:J125" si="5">F116/I116</f>
        <v>#REF!</v>
      </c>
    </row>
    <row r="117" spans="1:10" s="5" customFormat="1" ht="12" customHeight="1" x14ac:dyDescent="0.25">
      <c r="A117" s="31" t="s">
        <v>331</v>
      </c>
      <c r="B117" s="19" t="s">
        <v>453</v>
      </c>
      <c r="C117" s="19" t="str">
        <f>'Ordering Period Prices'!B114</f>
        <v>INSTALL TRAFFIC CONTROL SIGN (800-2500 sq in)</v>
      </c>
      <c r="D117" s="20" t="str">
        <f>'Ordering Period Prices'!C114</f>
        <v>EA</v>
      </c>
      <c r="E117" s="38" t="e">
        <f>SUM(#REF!+#REF!+#REF!+#REF!+#REF!)</f>
        <v>#REF!</v>
      </c>
      <c r="F117" s="21" t="e">
        <f>SUM(#REF!+#REF!+#REF!+#REF!+#REF!)</f>
        <v>#REF!</v>
      </c>
      <c r="G117" s="17" t="e">
        <f>SUM(#REF!,#REF!,#REF!,#REF!,#REF!,#REF!)</f>
        <v>#REF!</v>
      </c>
      <c r="I117" s="56">
        <v>45127.654385000002</v>
      </c>
      <c r="J117" s="58" t="e">
        <f t="shared" si="5"/>
        <v>#REF!</v>
      </c>
    </row>
    <row r="118" spans="1:10" s="5" customFormat="1" ht="12" customHeight="1" x14ac:dyDescent="0.25">
      <c r="A118" s="31" t="s">
        <v>332</v>
      </c>
      <c r="B118" s="19" t="s">
        <v>454</v>
      </c>
      <c r="C118" s="19" t="str">
        <f>'Ordering Period Prices'!B115</f>
        <v>REMOVE/REPLACE TRAFFIC CONTROL SIGN (up to 800 sq in)</v>
      </c>
      <c r="D118" s="20" t="str">
        <f>'Ordering Period Prices'!C115</f>
        <v>EA</v>
      </c>
      <c r="E118" s="38" t="e">
        <f>SUM(#REF!+#REF!+#REF!+#REF!+#REF!)</f>
        <v>#REF!</v>
      </c>
      <c r="F118" s="21" t="e">
        <f>SUM(#REF!+#REF!+#REF!+#REF!+#REF!)</f>
        <v>#REF!</v>
      </c>
      <c r="G118" s="18"/>
      <c r="I118" s="56">
        <v>9025.5308769999992</v>
      </c>
      <c r="J118" s="58" t="e">
        <f t="shared" si="5"/>
        <v>#REF!</v>
      </c>
    </row>
    <row r="119" spans="1:10" s="5" customFormat="1" ht="12" customHeight="1" x14ac:dyDescent="0.25">
      <c r="A119" s="31" t="s">
        <v>333</v>
      </c>
      <c r="B119" s="19" t="s">
        <v>454</v>
      </c>
      <c r="C119" s="19" t="str">
        <f>'Ordering Period Prices'!B116</f>
        <v>REMOVE/REPLACE TRAFFIC CONTROL SIGN (800-2500 sq in)</v>
      </c>
      <c r="D119" s="20" t="str">
        <f>'Ordering Period Prices'!C116</f>
        <v>EA</v>
      </c>
      <c r="E119" s="38" t="e">
        <f>SUM(#REF!+#REF!+#REF!+#REF!+#REF!)</f>
        <v>#REF!</v>
      </c>
      <c r="F119" s="21" t="e">
        <f>SUM(#REF!+#REF!+#REF!+#REF!+#REF!)</f>
        <v>#REF!</v>
      </c>
      <c r="G119" s="17" t="e">
        <f>SUM(#REF!,#REF!,#REF!,#REF!,#REF!,#REF!)</f>
        <v>#REF!</v>
      </c>
      <c r="I119" s="56">
        <v>10618.271620000001</v>
      </c>
      <c r="J119" s="58" t="e">
        <f t="shared" si="5"/>
        <v>#REF!</v>
      </c>
    </row>
    <row r="120" spans="1:10" s="5" customFormat="1" ht="12" customHeight="1" x14ac:dyDescent="0.25">
      <c r="A120" s="31" t="s">
        <v>502</v>
      </c>
      <c r="B120" s="19" t="s">
        <v>455</v>
      </c>
      <c r="C120" s="19" t="str">
        <f>'Ordering Period Prices'!B117</f>
        <v>INSTALL ASPHALT SPEED TABLE</v>
      </c>
      <c r="D120" s="20" t="str">
        <f>'Ordering Period Prices'!C117</f>
        <v>LF</v>
      </c>
      <c r="E120" s="38" t="e">
        <f>SUM(#REF!+#REF!+#REF!+#REF!+#REF!)</f>
        <v>#REF!</v>
      </c>
      <c r="F120" s="21" t="e">
        <f>SUM(#REF!+#REF!+#REF!+#REF!+#REF!)</f>
        <v>#REF!</v>
      </c>
      <c r="G120" s="17" t="e">
        <f>SUM(#REF!,#REF!,#REF!,#REF!,#REF!,#REF!)</f>
        <v>#REF!</v>
      </c>
      <c r="I120" s="56">
        <v>46454.938337500003</v>
      </c>
      <c r="J120" s="58" t="e">
        <f t="shared" si="5"/>
        <v>#REF!</v>
      </c>
    </row>
    <row r="121" spans="1:10" s="5" customFormat="1" ht="12" customHeight="1" x14ac:dyDescent="0.25">
      <c r="A121" s="31" t="s">
        <v>334</v>
      </c>
      <c r="B121" s="19" t="s">
        <v>456</v>
      </c>
      <c r="C121" s="19" t="str">
        <f>'Ordering Period Prices'!B118</f>
        <v>INSTALL PRECAST BUMPER BLOCK</v>
      </c>
      <c r="D121" s="20" t="str">
        <f>'Ordering Period Prices'!C118</f>
        <v>EA</v>
      </c>
      <c r="E121" s="38" t="e">
        <f>SUM(#REF!+#REF!+#REF!+#REF!+#REF!)</f>
        <v>#REF!</v>
      </c>
      <c r="F121" s="21" t="e">
        <f>SUM(#REF!+#REF!+#REF!+#REF!+#REF!)</f>
        <v>#REF!</v>
      </c>
      <c r="G121" s="17" t="e">
        <f>SUM(#REF!,#REF!,#REF!,#REF!,#REF!,#REF!)</f>
        <v>#REF!</v>
      </c>
      <c r="I121" s="56">
        <v>6901.8765529999991</v>
      </c>
      <c r="J121" s="58" t="e">
        <f t="shared" si="5"/>
        <v>#REF!</v>
      </c>
    </row>
    <row r="122" spans="1:10" s="5" customFormat="1" ht="12" customHeight="1" x14ac:dyDescent="0.25">
      <c r="A122" s="31" t="s">
        <v>335</v>
      </c>
      <c r="B122" s="19" t="s">
        <v>457</v>
      </c>
      <c r="C122" s="19" t="str">
        <f>'Ordering Period Prices'!B119</f>
        <v>INSTALL DETECTABLE WARNING PANEL</v>
      </c>
      <c r="D122" s="20" t="str">
        <f>'Ordering Period Prices'!C119</f>
        <v>EA</v>
      </c>
      <c r="E122" s="38" t="e">
        <f>SUM(#REF!+#REF!+#REF!+#REF!+#REF!)</f>
        <v>#REF!</v>
      </c>
      <c r="F122" s="21" t="e">
        <f>SUM(#REF!+#REF!+#REF!+#REF!+#REF!)</f>
        <v>#REF!</v>
      </c>
      <c r="G122" s="17" t="e">
        <f>SUM(#REF!,#REF!,#REF!,#REF!,#REF!,#REF!)</f>
        <v>#REF!</v>
      </c>
      <c r="I122" s="56">
        <v>4247.3086480000002</v>
      </c>
      <c r="J122" s="58" t="e">
        <f t="shared" si="5"/>
        <v>#REF!</v>
      </c>
    </row>
    <row r="123" spans="1:10" s="5" customFormat="1" ht="12" customHeight="1" x14ac:dyDescent="0.25">
      <c r="A123" s="31" t="s">
        <v>336</v>
      </c>
      <c r="B123" s="19" t="s">
        <v>458</v>
      </c>
      <c r="C123" s="19" t="str">
        <f>'Ordering Period Prices'!B120</f>
        <v>INSTALL URETHANE RUBBER SYSTEM (2,000+ SY)</v>
      </c>
      <c r="D123" s="20" t="str">
        <f>'Ordering Period Prices'!C120</f>
        <v>SY</v>
      </c>
      <c r="E123" s="38" t="e">
        <f>SUM(#REF!+#REF!+#REF!+#REF!+#REF!)</f>
        <v>#REF!</v>
      </c>
      <c r="F123" s="21" t="e">
        <f>SUM(#REF!+#REF!+#REF!+#REF!+#REF!)</f>
        <v>#REF!</v>
      </c>
      <c r="G123" s="17" t="e">
        <f>SUM(#REF!,#REF!,#REF!,#REF!,#REF!,#REF!)</f>
        <v>#REF!</v>
      </c>
      <c r="I123" s="56">
        <v>424730.86480000004</v>
      </c>
      <c r="J123" s="58" t="e">
        <f t="shared" si="5"/>
        <v>#REF!</v>
      </c>
    </row>
    <row r="124" spans="1:10" s="5" customFormat="1" ht="12" customHeight="1" x14ac:dyDescent="0.25">
      <c r="A124" s="31" t="s">
        <v>337</v>
      </c>
      <c r="B124" s="19" t="s">
        <v>459</v>
      </c>
      <c r="C124" s="19" t="str">
        <f>'Ordering Period Prices'!B121</f>
        <v>MAINTAIN URETHANE RUBBER SYSTEM (2,000+ SY)</v>
      </c>
      <c r="D124" s="20" t="str">
        <f>'Ordering Period Prices'!C121</f>
        <v>SY</v>
      </c>
      <c r="E124" s="38" t="e">
        <f>SUM(#REF!+#REF!+#REF!+#REF!+#REF!)</f>
        <v>#REF!</v>
      </c>
      <c r="F124" s="21" t="e">
        <f>SUM(#REF!+#REF!+#REF!+#REF!+#REF!)</f>
        <v>#REF!</v>
      </c>
      <c r="G124" s="17" t="e">
        <f>SUM(#REF!,#REF!,#REF!,#REF!,#REF!,#REF!)</f>
        <v>#REF!</v>
      </c>
      <c r="I124" s="56">
        <v>318548.14859999996</v>
      </c>
      <c r="J124" s="58" t="e">
        <f t="shared" si="5"/>
        <v>#REF!</v>
      </c>
    </row>
    <row r="125" spans="1:10" s="5" customFormat="1" ht="12" customHeight="1" x14ac:dyDescent="0.25">
      <c r="A125" s="31" t="s">
        <v>338</v>
      </c>
      <c r="B125" s="19" t="s">
        <v>460</v>
      </c>
      <c r="C125" s="19" t="str">
        <f>'Ordering Period Prices'!B122</f>
        <v>CONSTRUCT ROAD BOLLARD FOUNDATION AND COLLAR</v>
      </c>
      <c r="D125" s="20" t="str">
        <f>'Ordering Period Prices'!C122</f>
        <v>EA</v>
      </c>
      <c r="E125" s="38" t="e">
        <f>SUM(#REF!+#REF!+#REF!+#REF!+#REF!)</f>
        <v>#REF!</v>
      </c>
      <c r="F125" s="21" t="e">
        <f>SUM(#REF!+#REF!+#REF!+#REF!+#REF!)</f>
        <v>#REF!</v>
      </c>
      <c r="G125" s="18"/>
      <c r="I125" s="56">
        <v>265456.7905</v>
      </c>
      <c r="J125" s="58" t="e">
        <f t="shared" si="5"/>
        <v>#REF!</v>
      </c>
    </row>
    <row r="126" spans="1:10" s="5" customFormat="1" ht="12" customHeight="1" x14ac:dyDescent="0.25">
      <c r="A126" s="95" t="s">
        <v>503</v>
      </c>
      <c r="B126" s="96" t="s">
        <v>461</v>
      </c>
      <c r="C126" s="96" t="s">
        <v>464</v>
      </c>
      <c r="D126" s="106" t="s">
        <v>8</v>
      </c>
      <c r="E126" s="107"/>
      <c r="F126" s="99"/>
      <c r="G126" s="17"/>
      <c r="I126" s="93"/>
      <c r="J126" s="94"/>
    </row>
    <row r="127" spans="1:10" s="5" customFormat="1" ht="12" customHeight="1" x14ac:dyDescent="0.25">
      <c r="A127" s="31" t="s">
        <v>339</v>
      </c>
      <c r="B127" s="19" t="s">
        <v>462</v>
      </c>
      <c r="C127" s="19" t="str">
        <f>'Ordering Period Prices'!B124</f>
        <v>INSTALL AIRCRAFT MOORING/GROUNDING POINTS (4-20)</v>
      </c>
      <c r="D127" s="20" t="str">
        <f>'Ordering Period Prices'!C124</f>
        <v>EA</v>
      </c>
      <c r="E127" s="38" t="e">
        <f>SUM(#REF!+#REF!+#REF!+#REF!+#REF!)</f>
        <v>#REF!</v>
      </c>
      <c r="F127" s="21" t="e">
        <f>SUM(#REF!+#REF!+#REF!+#REF!+#REF!)</f>
        <v>#REF!</v>
      </c>
      <c r="G127" s="17" t="e">
        <f>SUM(#REF!,#REF!,#REF!,#REF!,#REF!,#REF!)</f>
        <v>#REF!</v>
      </c>
      <c r="I127" s="56">
        <v>26545.679050000002</v>
      </c>
      <c r="J127" s="58" t="e">
        <f>F127/I127</f>
        <v>#REF!</v>
      </c>
    </row>
    <row r="128" spans="1:10" s="5" customFormat="1" ht="12" customHeight="1" x14ac:dyDescent="0.25">
      <c r="A128" s="133" t="s">
        <v>340</v>
      </c>
      <c r="B128" s="66" t="s">
        <v>462</v>
      </c>
      <c r="C128" s="66" t="str">
        <f>'Ordering Period Prices'!B125</f>
        <v>INSTALL AIRCRAFT MOORING/GROUNDING POINTS(20+)</v>
      </c>
      <c r="D128" s="35" t="str">
        <f>'Ordering Period Prices'!C125</f>
        <v>EA</v>
      </c>
      <c r="E128" s="134" t="e">
        <f>SUM(#REF!+#REF!+#REF!+#REF!+#REF!)</f>
        <v>#REF!</v>
      </c>
      <c r="F128" s="36" t="e">
        <f>SUM(#REF!+#REF!+#REF!+#REF!+#REF!)</f>
        <v>#REF!</v>
      </c>
      <c r="G128" s="17" t="e">
        <f>SUM(#REF!,#REF!,#REF!,#REF!,#REF!,#REF!)</f>
        <v>#REF!</v>
      </c>
      <c r="I128" s="56">
        <v>63709.629720000004</v>
      </c>
      <c r="J128" s="58" t="e">
        <f>F128/I128</f>
        <v>#REF!</v>
      </c>
    </row>
    <row r="129" spans="1:10" s="5" customFormat="1" ht="12" customHeight="1" x14ac:dyDescent="0.25">
      <c r="A129" s="136" t="s">
        <v>504</v>
      </c>
      <c r="B129" s="136" t="s">
        <v>463</v>
      </c>
      <c r="C129" s="136" t="str">
        <f>'Ordering Period Prices'!B129</f>
        <v>INSTALL LANDSCAPE ROCK</v>
      </c>
      <c r="D129" s="137" t="str">
        <f>'Ordering Period Prices'!C129</f>
        <v>SF</v>
      </c>
      <c r="E129" s="138" t="e">
        <f>SUM(#REF!+#REF!+#REF!+#REF!+#REF!)</f>
        <v>#REF!</v>
      </c>
      <c r="F129" s="139" t="e">
        <f>SUM(#REF!+#REF!+#REF!+#REF!+#REF!)</f>
        <v>#REF!</v>
      </c>
      <c r="G129" s="17" t="e">
        <f>SUM(#REF!,#REF!,#REF!,#REF!,#REF!,#REF!)</f>
        <v>#REF!</v>
      </c>
      <c r="I129" s="56">
        <v>5972.7777862499997</v>
      </c>
      <c r="J129" s="58" t="e">
        <f>F129/I129</f>
        <v>#REF!</v>
      </c>
    </row>
    <row r="130" spans="1:10" s="5" customFormat="1" ht="12" customHeight="1" x14ac:dyDescent="0.25">
      <c r="A130" s="101" t="s">
        <v>505</v>
      </c>
      <c r="B130" s="135" t="s">
        <v>465</v>
      </c>
      <c r="C130" s="102" t="s">
        <v>468</v>
      </c>
      <c r="D130" s="103" t="s">
        <v>7</v>
      </c>
      <c r="E130" s="104"/>
      <c r="F130" s="105"/>
      <c r="G130" s="17"/>
      <c r="I130" s="93"/>
      <c r="J130" s="94"/>
    </row>
    <row r="131" spans="1:10" s="5" customFormat="1" ht="12" customHeight="1" x14ac:dyDescent="0.25">
      <c r="A131" s="101" t="s">
        <v>506</v>
      </c>
      <c r="B131" s="96" t="s">
        <v>466</v>
      </c>
      <c r="C131" s="102" t="s">
        <v>469</v>
      </c>
      <c r="D131" s="103" t="s">
        <v>7</v>
      </c>
      <c r="E131" s="104"/>
      <c r="F131" s="105"/>
      <c r="G131" s="17"/>
      <c r="I131" s="93"/>
      <c r="J131" s="94"/>
    </row>
    <row r="132" spans="1:10" s="5" customFormat="1" ht="12" customHeight="1" x14ac:dyDescent="0.25">
      <c r="A132" s="101" t="s">
        <v>507</v>
      </c>
      <c r="B132" s="96" t="s">
        <v>467</v>
      </c>
      <c r="C132" s="102" t="s">
        <v>470</v>
      </c>
      <c r="D132" s="103" t="s">
        <v>446</v>
      </c>
      <c r="E132" s="104"/>
      <c r="F132" s="105"/>
      <c r="G132" s="17"/>
      <c r="I132" s="93"/>
      <c r="J132" s="94"/>
    </row>
    <row r="133" spans="1:10" s="5" customFormat="1" ht="12" customHeight="1" x14ac:dyDescent="0.25">
      <c r="A133" s="132" t="s">
        <v>508</v>
      </c>
      <c r="B133" s="131" t="s">
        <v>517</v>
      </c>
      <c r="C133" s="132" t="s">
        <v>518</v>
      </c>
      <c r="D133" s="131" t="s">
        <v>7</v>
      </c>
      <c r="E133" s="100"/>
      <c r="F133" s="100"/>
      <c r="G133" s="17"/>
      <c r="I133" s="93"/>
      <c r="J133" s="94"/>
    </row>
    <row r="134" spans="1:10" s="5" customFormat="1" ht="12" customHeight="1" x14ac:dyDescent="0.25">
      <c r="A134" s="183" t="str">
        <f>'Ordering Period Prices'!B130</f>
        <v>PRICE ADJUSTMENT FACTORS</v>
      </c>
      <c r="B134" s="169"/>
      <c r="C134" s="169"/>
      <c r="D134" s="169"/>
      <c r="E134" s="169"/>
      <c r="F134" s="170"/>
      <c r="G134" s="17" t="e">
        <f>SUM(#REF!,#REF!,#REF!,#REF!,#REF!,#REF!)</f>
        <v>#REF!</v>
      </c>
      <c r="I134" s="56"/>
      <c r="J134" s="58"/>
    </row>
    <row r="135" spans="1:10" s="5" customFormat="1" ht="12" customHeight="1" x14ac:dyDescent="0.25">
      <c r="A135" s="31" t="s">
        <v>509</v>
      </c>
      <c r="B135" s="19" t="s">
        <v>227</v>
      </c>
      <c r="C135" s="19" t="str">
        <f>'Ordering Period Prices'!B131</f>
        <v>DE-MOBILIZATION AND RE-MOBILIZATION</v>
      </c>
      <c r="D135" s="20" t="str">
        <f>'Ordering Period Prices'!C131</f>
        <v>EA</v>
      </c>
      <c r="E135" s="38" t="e">
        <f>SUM(#REF!+#REF!+#REF!+#REF!+#REF!)</f>
        <v>#REF!</v>
      </c>
      <c r="F135" s="21" t="e">
        <f>SUM(#REF!+#REF!+#REF!+#REF!+#REF!)</f>
        <v>#REF!</v>
      </c>
      <c r="G135" s="18"/>
      <c r="I135" s="56">
        <v>63709.629720000012</v>
      </c>
      <c r="J135" s="58" t="e">
        <f>F135/I135</f>
        <v>#REF!</v>
      </c>
    </row>
    <row r="136" spans="1:10" s="5" customFormat="1" ht="12" customHeight="1" x14ac:dyDescent="0.25">
      <c r="A136" s="31" t="s">
        <v>510</v>
      </c>
      <c r="B136" s="19" t="s">
        <v>228</v>
      </c>
      <c r="C136" s="19" t="str">
        <f>'Ordering Period Prices'!B132</f>
        <v>CONTROLLED AREA ESCORTS</v>
      </c>
      <c r="D136" s="20" t="str">
        <f>'Ordering Period Prices'!C132</f>
        <v>HR</v>
      </c>
      <c r="E136" s="38" t="e">
        <f>SUM(#REF!+#REF!+#REF!+#REF!+#REF!)</f>
        <v>#REF!</v>
      </c>
      <c r="F136" s="21" t="e">
        <f>SUM(#REF!+#REF!+#REF!+#REF!+#REF!)</f>
        <v>#REF!</v>
      </c>
      <c r="G136" s="17" t="e">
        <f>SUM(#REF!,#REF!,#REF!,#REF!,#REF!,#REF!)</f>
        <v>#REF!</v>
      </c>
      <c r="I136" s="56">
        <v>11945.555572499999</v>
      </c>
      <c r="J136" s="58" t="e">
        <f>F136/I136</f>
        <v>#REF!</v>
      </c>
    </row>
    <row r="137" spans="1:10" s="5" customFormat="1" ht="12" customHeight="1" x14ac:dyDescent="0.25">
      <c r="A137" s="95" t="s">
        <v>511</v>
      </c>
      <c r="B137" s="96" t="s">
        <v>472</v>
      </c>
      <c r="C137" s="96" t="s">
        <v>471</v>
      </c>
      <c r="D137" s="97" t="s">
        <v>155</v>
      </c>
      <c r="E137" s="98"/>
      <c r="F137" s="99"/>
      <c r="G137" s="17"/>
      <c r="I137" s="93"/>
      <c r="J137" s="94"/>
    </row>
    <row r="138" spans="1:10" s="5" customFormat="1" ht="12" customHeight="1" x14ac:dyDescent="0.25">
      <c r="A138" s="32"/>
      <c r="B138" s="33"/>
      <c r="C138" s="33"/>
      <c r="D138" s="195" t="s">
        <v>225</v>
      </c>
      <c r="E138" s="196"/>
      <c r="F138" s="34" t="e">
        <f>SUM(F6:F136)</f>
        <v>#REF!</v>
      </c>
      <c r="G138" s="17"/>
      <c r="I138" s="56"/>
      <c r="J138" s="58"/>
    </row>
    <row r="139" spans="1:10" s="5" customFormat="1" ht="12" customHeight="1" x14ac:dyDescent="0.25">
      <c r="A139" s="31" t="s">
        <v>512</v>
      </c>
      <c r="B139" s="19" t="s">
        <v>229</v>
      </c>
      <c r="C139" s="19" t="str">
        <f>'Ordering Period Prices'!B135</f>
        <v>PERCENT INCREASE FOR NON-STANDARD WORK HOURS</v>
      </c>
      <c r="D139" s="20" t="str">
        <f>'Ordering Period Prices'!C135</f>
        <v>NO</v>
      </c>
      <c r="E139" s="38">
        <v>5</v>
      </c>
      <c r="F139" s="21" t="e">
        <f>SUM(#REF!+#REF!+#REF!+#REF!+#REF!)</f>
        <v>#REF!</v>
      </c>
      <c r="G139" s="17" t="e">
        <f>SUM(#REF!,#REF!,#REF!,#REF!,#REF!,#REF!)</f>
        <v>#REF!</v>
      </c>
      <c r="I139" s="56"/>
      <c r="J139" s="58"/>
    </row>
    <row r="140" spans="1:10" s="5" customFormat="1" ht="12" customHeight="1" x14ac:dyDescent="0.25">
      <c r="A140" s="31" t="s">
        <v>513</v>
      </c>
      <c r="B140" s="19" t="s">
        <v>230</v>
      </c>
      <c r="C140" s="19" t="str">
        <f>'Ordering Period Prices'!B136</f>
        <v>PERCENT INCREASE FOR CREECH AFB WORK</v>
      </c>
      <c r="D140" s="20" t="str">
        <f>'Ordering Period Prices'!C136</f>
        <v>NO</v>
      </c>
      <c r="E140" s="38">
        <v>5</v>
      </c>
      <c r="F140" s="21" t="e">
        <f>SUM(#REF!+#REF!+#REF!+#REF!+#REF!)</f>
        <v>#REF!</v>
      </c>
      <c r="G140" s="17" t="e">
        <f>SUM(#REF!,#REF!,#REF!,#REF!,#REF!,#REF!)</f>
        <v>#REF!</v>
      </c>
      <c r="I140" s="56"/>
      <c r="J140" s="58"/>
    </row>
    <row r="141" spans="1:10" s="5" customFormat="1" ht="12" customHeight="1" x14ac:dyDescent="0.25">
      <c r="A141" s="31" t="s">
        <v>514</v>
      </c>
      <c r="B141" s="19" t="s">
        <v>231</v>
      </c>
      <c r="C141" s="19" t="str">
        <f>'Ordering Period Prices'!B137</f>
        <v>PERCENT INCREASE FOR  SOUTHERN NTTR WORK</v>
      </c>
      <c r="D141" s="20" t="str">
        <f>'Ordering Period Prices'!C137</f>
        <v>NO</v>
      </c>
      <c r="E141" s="38">
        <v>15</v>
      </c>
      <c r="F141" s="21" t="e">
        <f>SUM(#REF!+#REF!+#REF!+#REF!+#REF!)</f>
        <v>#REF!</v>
      </c>
      <c r="G141" s="17" t="e">
        <f>SUM(#REF!,#REF!,#REF!,#REF!,#REF!,#REF!)</f>
        <v>#REF!</v>
      </c>
      <c r="I141" s="56"/>
      <c r="J141" s="58"/>
    </row>
    <row r="142" spans="1:10" s="5" customFormat="1" ht="12" customHeight="1" x14ac:dyDescent="0.25">
      <c r="A142" s="183" t="str">
        <f>'Ordering Period Prices'!B138</f>
        <v>DESIGN FEES</v>
      </c>
      <c r="B142" s="169"/>
      <c r="C142" s="169"/>
      <c r="D142" s="169"/>
      <c r="E142" s="169"/>
      <c r="F142" s="170"/>
      <c r="G142" s="17" t="e">
        <f>SUM(#REF!,#REF!,#REF!,#REF!,#REF!,#REF!)</f>
        <v>#REF!</v>
      </c>
      <c r="I142" s="56"/>
      <c r="J142" s="58"/>
    </row>
    <row r="143" spans="1:10" s="5" customFormat="1" ht="12" customHeight="1" x14ac:dyDescent="0.25">
      <c r="A143" s="31" t="s">
        <v>515</v>
      </c>
      <c r="B143" s="19" t="s">
        <v>232</v>
      </c>
      <c r="C143" s="19" t="str">
        <f>'Ordering Period Prices'!B139</f>
        <v>GRADING PLAN  FEE &lt;=$250,000 TASK ORDER</v>
      </c>
      <c r="D143" s="20" t="str">
        <f>'Ordering Period Prices'!C139</f>
        <v>EA</v>
      </c>
      <c r="E143" s="38" t="e">
        <f>SUM(#REF!+#REF!+#REF!+#REF!+#REF!)</f>
        <v>#REF!</v>
      </c>
      <c r="F143" s="21" t="e">
        <f>SUM(#REF!+#REF!+#REF!+#REF!+#REF!)</f>
        <v>#REF!</v>
      </c>
      <c r="G143" s="17" t="e">
        <f>SUM(#REF!,#REF!,#REF!,#REF!,#REF!,#REF!)</f>
        <v>#REF!</v>
      </c>
      <c r="I143" s="56"/>
      <c r="J143" s="58"/>
    </row>
    <row r="144" spans="1:10" s="5" customFormat="1" ht="12" customHeight="1" x14ac:dyDescent="0.25">
      <c r="A144" s="31" t="s">
        <v>516</v>
      </c>
      <c r="B144" s="19" t="s">
        <v>232</v>
      </c>
      <c r="C144" s="19" t="str">
        <f>'Ordering Period Prices'!B140</f>
        <v>GRADING PLAN  FEE &gt; $250,0000 TASK ORDER</v>
      </c>
      <c r="D144" s="20" t="str">
        <f>'Ordering Period Prices'!C140</f>
        <v>EA</v>
      </c>
      <c r="E144" s="38" t="e">
        <f>SUM(#REF!+#REF!+#REF!+#REF!+#REF!)</f>
        <v>#REF!</v>
      </c>
      <c r="F144" s="21" t="e">
        <f>SUM(#REF!+#REF!+#REF!+#REF!+#REF!)</f>
        <v>#REF!</v>
      </c>
      <c r="G144" s="17" t="e">
        <f>SUM(#REF!,#REF!,#REF!,#REF!,#REF!,#REF!)</f>
        <v>#REF!</v>
      </c>
      <c r="I144" s="56"/>
      <c r="J144" s="58"/>
    </row>
    <row r="145" spans="1:10" s="5" customFormat="1" ht="12" customHeight="1" x14ac:dyDescent="0.25">
      <c r="A145" s="31" t="s">
        <v>519</v>
      </c>
      <c r="B145" s="19" t="s">
        <v>233</v>
      </c>
      <c r="C145" s="19" t="str">
        <f>'Ordering Period Prices'!B141</f>
        <v>SOIL TESTING (3  LOCATIONS)</v>
      </c>
      <c r="D145" s="20" t="str">
        <f>'Ordering Period Prices'!C141</f>
        <v>EA</v>
      </c>
      <c r="E145" s="38" t="e">
        <f>SUM(#REF!+#REF!+#REF!+#REF!+#REF!)</f>
        <v>#REF!</v>
      </c>
      <c r="F145" s="21" t="e">
        <f>SUM(#REF!+#REF!+#REF!+#REF!+#REF!)</f>
        <v>#REF!</v>
      </c>
      <c r="G145" s="17" t="e">
        <f>SUM(#REF!,#REF!,#REF!,#REF!,#REF!,#REF!)</f>
        <v>#REF!</v>
      </c>
      <c r="I145" s="59">
        <v>26545.679050000002</v>
      </c>
      <c r="J145" s="60" t="e">
        <f>F145/I145</f>
        <v>#REF!</v>
      </c>
    </row>
    <row r="146" spans="1:10" s="5" customFormat="1" ht="12" customHeight="1" x14ac:dyDescent="0.25">
      <c r="A146" s="40"/>
      <c r="B146" s="40"/>
      <c r="C146" s="40"/>
      <c r="D146" s="195" t="s">
        <v>226</v>
      </c>
      <c r="E146" s="196"/>
      <c r="F146" s="39" t="e">
        <f>SUM(F138:F145)</f>
        <v>#REF!</v>
      </c>
      <c r="I146" s="56"/>
      <c r="J146" s="58"/>
    </row>
    <row r="147" spans="1:10" s="5" customFormat="1" ht="12" customHeight="1" x14ac:dyDescent="0.25">
      <c r="I147" s="56"/>
      <c r="J147" s="58"/>
    </row>
    <row r="148" spans="1:10" s="5" customFormat="1" ht="12" customHeight="1" x14ac:dyDescent="0.25">
      <c r="I148" s="56"/>
      <c r="J148" s="58"/>
    </row>
    <row r="149" spans="1:10" s="5" customFormat="1" ht="12" customHeight="1" x14ac:dyDescent="0.25">
      <c r="I149" s="56"/>
      <c r="J149" s="58"/>
    </row>
    <row r="150" spans="1:10" s="5" customFormat="1" ht="12" customHeight="1" x14ac:dyDescent="0.25">
      <c r="I150" s="56"/>
      <c r="J150" s="58"/>
    </row>
    <row r="151" spans="1:10" s="5" customFormat="1" ht="12" customHeight="1" x14ac:dyDescent="0.25">
      <c r="I151" s="56"/>
      <c r="J151" s="58"/>
    </row>
    <row r="152" spans="1:10" s="5" customFormat="1" ht="12" customHeight="1" x14ac:dyDescent="0.25">
      <c r="I152" s="56"/>
      <c r="J152" s="58"/>
    </row>
    <row r="153" spans="1:10" s="5" customFormat="1" ht="12" customHeight="1" x14ac:dyDescent="0.25">
      <c r="I153" s="56"/>
      <c r="J153" s="58"/>
    </row>
    <row r="154" spans="1:10" s="5" customFormat="1" ht="12" customHeight="1" x14ac:dyDescent="0.25">
      <c r="I154" s="56"/>
      <c r="J154" s="58"/>
    </row>
    <row r="155" spans="1:10" s="5" customFormat="1" ht="12" customHeight="1" x14ac:dyDescent="0.25">
      <c r="I155" s="56"/>
      <c r="J155" s="58"/>
    </row>
    <row r="156" spans="1:10" s="5" customFormat="1" ht="12" customHeight="1" x14ac:dyDescent="0.25">
      <c r="I156" s="56"/>
      <c r="J156" s="58"/>
    </row>
    <row r="157" spans="1:10" s="5" customFormat="1" ht="12" customHeight="1" x14ac:dyDescent="0.25">
      <c r="I157" s="56"/>
      <c r="J157" s="58"/>
    </row>
    <row r="158" spans="1:10" s="5" customFormat="1" ht="12" customHeight="1" x14ac:dyDescent="0.25">
      <c r="I158" s="56"/>
      <c r="J158" s="58"/>
    </row>
    <row r="159" spans="1:10" s="5" customFormat="1" ht="12" customHeight="1" x14ac:dyDescent="0.25">
      <c r="I159" s="56"/>
      <c r="J159" s="58"/>
    </row>
    <row r="160" spans="1:10" s="5" customFormat="1" ht="12" customHeight="1" x14ac:dyDescent="0.25">
      <c r="I160" s="56"/>
      <c r="J160" s="58"/>
    </row>
    <row r="161" spans="1:10" s="5" customFormat="1" ht="12" customHeight="1" x14ac:dyDescent="0.25">
      <c r="I161" s="56"/>
      <c r="J161" s="58"/>
    </row>
    <row r="162" spans="1:10" s="5" customFormat="1" ht="12" customHeight="1" x14ac:dyDescent="0.25">
      <c r="I162" s="56"/>
      <c r="J162" s="58"/>
    </row>
    <row r="163" spans="1:10" s="5" customFormat="1" ht="12" customHeight="1" x14ac:dyDescent="0.25">
      <c r="I163" s="56"/>
      <c r="J163" s="58"/>
    </row>
    <row r="164" spans="1:10" s="5" customFormat="1" ht="12" customHeight="1" x14ac:dyDescent="0.25">
      <c r="I164" s="56"/>
      <c r="J164" s="58"/>
    </row>
    <row r="165" spans="1:10" s="5" customFormat="1" ht="12" customHeight="1" x14ac:dyDescent="0.25">
      <c r="I165" s="56"/>
      <c r="J165" s="58"/>
    </row>
    <row r="166" spans="1:10" s="5" customFormat="1" ht="12" customHeight="1" x14ac:dyDescent="0.25">
      <c r="I166" s="56"/>
      <c r="J166" s="58"/>
    </row>
    <row r="167" spans="1:10" s="5" customFormat="1" ht="12" customHeight="1" x14ac:dyDescent="0.25">
      <c r="I167" s="56"/>
      <c r="J167" s="58"/>
    </row>
    <row r="168" spans="1:10" s="5" customFormat="1" ht="12" customHeight="1" x14ac:dyDescent="0.25">
      <c r="I168" s="56"/>
      <c r="J168" s="58"/>
    </row>
    <row r="169" spans="1:10" s="5" customFormat="1" ht="12" customHeight="1" x14ac:dyDescent="0.25">
      <c r="I169" s="56"/>
      <c r="J169" s="58"/>
    </row>
    <row r="170" spans="1:10" s="5" customFormat="1" ht="12" customHeight="1" x14ac:dyDescent="0.25">
      <c r="I170" s="56"/>
      <c r="J170" s="58"/>
    </row>
    <row r="171" spans="1:10" s="5" customFormat="1" ht="12" customHeight="1" x14ac:dyDescent="0.25">
      <c r="I171" s="56"/>
      <c r="J171" s="58"/>
    </row>
    <row r="172" spans="1:10" s="5" customFormat="1" ht="12" customHeight="1" x14ac:dyDescent="0.25">
      <c r="A172" s="27"/>
      <c r="I172" s="56"/>
      <c r="J172" s="58"/>
    </row>
    <row r="173" spans="1:10" s="5" customFormat="1" ht="12" customHeight="1" x14ac:dyDescent="0.25">
      <c r="A173" s="27"/>
      <c r="I173" s="56"/>
      <c r="J173" s="58"/>
    </row>
    <row r="174" spans="1:10" s="5" customFormat="1" ht="12" customHeight="1" x14ac:dyDescent="0.25">
      <c r="A174" s="27"/>
      <c r="I174" s="56"/>
      <c r="J174" s="58"/>
    </row>
    <row r="175" spans="1:10" s="5" customFormat="1" ht="12" customHeight="1" x14ac:dyDescent="0.25">
      <c r="A175" s="18"/>
      <c r="I175" s="56"/>
      <c r="J175" s="58"/>
    </row>
    <row r="176" spans="1:10" s="5" customFormat="1" ht="12" customHeight="1" x14ac:dyDescent="0.25">
      <c r="A176" s="17"/>
      <c r="I176" s="56"/>
      <c r="J176" s="58"/>
    </row>
    <row r="177" spans="1:10" s="5" customFormat="1" ht="12" customHeight="1" x14ac:dyDescent="0.25">
      <c r="A177" s="17"/>
      <c r="B177" s="5" t="e">
        <f>IF(#REF!&gt;0,1,0)</f>
        <v>#REF!</v>
      </c>
      <c r="I177" s="56"/>
      <c r="J177" s="58"/>
    </row>
    <row r="178" spans="1:10" s="5" customFormat="1" ht="12" customHeight="1" x14ac:dyDescent="0.25">
      <c r="A178" s="17"/>
      <c r="B178" s="5" t="e">
        <f>IF(#REF!&gt;0,1,0)</f>
        <v>#REF!</v>
      </c>
      <c r="I178" s="56"/>
      <c r="J178" s="58"/>
    </row>
    <row r="179" spans="1:10" s="5" customFormat="1" ht="12" customHeight="1" x14ac:dyDescent="0.25">
      <c r="A179" s="17"/>
      <c r="I179" s="56"/>
      <c r="J179" s="58"/>
    </row>
    <row r="180" spans="1:10" s="5" customFormat="1" ht="12" customHeight="1" x14ac:dyDescent="0.25">
      <c r="A180" s="17"/>
      <c r="I180" s="56"/>
      <c r="J180" s="58"/>
    </row>
    <row r="181" spans="1:10" s="5" customFormat="1" ht="12" customHeight="1" x14ac:dyDescent="0.25">
      <c r="A181" s="6"/>
      <c r="B181" s="4"/>
      <c r="C181" s="6"/>
      <c r="E181" s="11"/>
      <c r="F181" s="8"/>
      <c r="G181" s="17"/>
      <c r="I181" s="56"/>
      <c r="J181" s="58"/>
    </row>
    <row r="182" spans="1:10" s="5" customFormat="1" ht="12" customHeight="1" x14ac:dyDescent="0.25">
      <c r="A182" s="6"/>
      <c r="B182" s="4"/>
      <c r="C182" s="6"/>
      <c r="E182" s="12"/>
      <c r="F182" s="9"/>
      <c r="G182" s="17"/>
      <c r="I182" s="56"/>
      <c r="J182" s="58"/>
    </row>
    <row r="183" spans="1:10" s="5" customFormat="1" ht="12" customHeight="1" x14ac:dyDescent="0.25">
      <c r="A183" s="6"/>
      <c r="B183" s="2"/>
      <c r="C183" s="6"/>
      <c r="E183" s="12"/>
      <c r="F183" s="9"/>
      <c r="G183" s="17"/>
      <c r="I183" s="56"/>
      <c r="J183" s="58"/>
    </row>
    <row r="184" spans="1:10" s="5" customFormat="1" ht="13.7" customHeight="1" x14ac:dyDescent="0.25">
      <c r="A184" s="6"/>
      <c r="B184" s="2"/>
      <c r="C184" s="6"/>
      <c r="E184" s="12"/>
      <c r="F184" s="9"/>
      <c r="G184" s="17"/>
      <c r="I184" s="56"/>
      <c r="J184" s="58"/>
    </row>
    <row r="185" spans="1:10" s="5" customFormat="1" ht="13.7" customHeight="1" x14ac:dyDescent="0.25">
      <c r="A185" s="4"/>
      <c r="B185" s="2"/>
      <c r="C185" s="6"/>
      <c r="E185" s="12"/>
      <c r="F185" s="9"/>
      <c r="G185" s="17"/>
      <c r="I185" s="56"/>
      <c r="J185" s="58"/>
    </row>
    <row r="186" spans="1:10" s="5" customFormat="1" ht="13.7" customHeight="1" x14ac:dyDescent="0.25">
      <c r="A186" s="4"/>
      <c r="B186" s="2"/>
      <c r="C186" s="4"/>
      <c r="D186" s="3"/>
      <c r="E186" s="12"/>
      <c r="F186" s="9"/>
      <c r="G186" s="17"/>
      <c r="I186" s="56"/>
      <c r="J186" s="58"/>
    </row>
    <row r="187" spans="1:10" s="5" customFormat="1" ht="12.75" customHeight="1" x14ac:dyDescent="0.25">
      <c r="A187" s="2"/>
      <c r="B187" s="2"/>
      <c r="C187" s="4"/>
      <c r="D187" s="3"/>
      <c r="E187" s="12"/>
      <c r="F187" s="9"/>
      <c r="G187" s="17"/>
      <c r="I187" s="56"/>
      <c r="J187" s="58"/>
    </row>
  </sheetData>
  <mergeCells count="17">
    <mergeCell ref="D146:E146"/>
    <mergeCell ref="A86:F86"/>
    <mergeCell ref="A71:F71"/>
    <mergeCell ref="A142:F142"/>
    <mergeCell ref="D138:E138"/>
    <mergeCell ref="G1:G4"/>
    <mergeCell ref="A1:F1"/>
    <mergeCell ref="A2:F2"/>
    <mergeCell ref="A3:F3"/>
    <mergeCell ref="A5:F5"/>
    <mergeCell ref="A41:F41"/>
    <mergeCell ref="A79:F79"/>
    <mergeCell ref="A92:F92"/>
    <mergeCell ref="A115:F115"/>
    <mergeCell ref="A134:F134"/>
    <mergeCell ref="A112:F112"/>
    <mergeCell ref="A105:G105"/>
  </mergeCells>
  <phoneticPr fontId="13" type="noConversion"/>
  <printOptions horizontalCentered="1"/>
  <pageMargins left="0.1" right="0.1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191"/>
  <sheetViews>
    <sheetView tabSelected="1" topLeftCell="A3" zoomScaleNormal="100" workbookViewId="0">
      <selection activeCell="F122" sqref="F122"/>
    </sheetView>
  </sheetViews>
  <sheetFormatPr defaultColWidth="9.140625" defaultRowHeight="15.75" x14ac:dyDescent="0.25"/>
  <cols>
    <col min="1" max="1" width="6.28515625" style="2" customWidth="1"/>
    <col min="2" max="2" width="45.85546875" style="2" bestFit="1" customWidth="1"/>
    <col min="3" max="3" width="10.5703125" style="1" bestFit="1" customWidth="1"/>
    <col min="4" max="7" width="10.5703125" style="1" customWidth="1"/>
    <col min="8" max="8" width="10.7109375" style="9" bestFit="1" customWidth="1"/>
    <col min="9" max="9" width="10" style="12" customWidth="1"/>
    <col min="10" max="10" width="12.42578125" style="9" bestFit="1" customWidth="1"/>
    <col min="11" max="11" width="15" style="6" customWidth="1"/>
    <col min="12" max="12" width="12.85546875" style="1" customWidth="1"/>
    <col min="13" max="13" width="13.85546875" style="1" customWidth="1"/>
    <col min="14" max="14" width="15" style="1" customWidth="1"/>
    <col min="15" max="15" width="12.85546875" style="1" bestFit="1" customWidth="1"/>
    <col min="16" max="16384" width="9.140625" style="1"/>
  </cols>
  <sheetData>
    <row r="1" spans="1:12" ht="12" customHeigh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2"/>
      <c r="K1" s="142"/>
    </row>
    <row r="2" spans="1:12" ht="12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4"/>
      <c r="K2" s="142"/>
    </row>
    <row r="3" spans="1:12" ht="12" customHeight="1" thickBot="1" x14ac:dyDescent="0.3">
      <c r="A3" s="175"/>
      <c r="B3" s="175"/>
      <c r="C3" s="175"/>
      <c r="D3" s="175"/>
      <c r="E3" s="175"/>
      <c r="F3" s="175"/>
      <c r="G3" s="175"/>
      <c r="H3" s="175"/>
      <c r="I3" s="175"/>
      <c r="J3" s="176"/>
      <c r="K3" s="142"/>
    </row>
    <row r="4" spans="1:12" s="5" customFormat="1" ht="12" customHeight="1" thickBot="1" x14ac:dyDescent="0.3">
      <c r="A4" s="13" t="s">
        <v>1</v>
      </c>
      <c r="B4" s="14" t="s">
        <v>10</v>
      </c>
      <c r="C4" s="14" t="s">
        <v>2</v>
      </c>
      <c r="D4" s="14" t="s">
        <v>538</v>
      </c>
      <c r="E4" s="14" t="s">
        <v>539</v>
      </c>
      <c r="F4" s="14" t="s">
        <v>540</v>
      </c>
      <c r="G4" s="14" t="s">
        <v>537</v>
      </c>
      <c r="H4" s="15" t="s">
        <v>541</v>
      </c>
      <c r="I4" s="16" t="s">
        <v>3</v>
      </c>
      <c r="J4" s="15" t="s">
        <v>4</v>
      </c>
      <c r="K4" s="142"/>
    </row>
    <row r="5" spans="1:12" s="5" customFormat="1" ht="12" customHeight="1" x14ac:dyDescent="0.25">
      <c r="A5" s="177"/>
      <c r="B5" s="177"/>
      <c r="C5" s="177"/>
      <c r="D5" s="177"/>
      <c r="E5" s="177"/>
      <c r="F5" s="177"/>
      <c r="G5" s="177"/>
      <c r="H5" s="177"/>
      <c r="I5" s="177"/>
      <c r="J5" s="178"/>
      <c r="K5" s="6"/>
    </row>
    <row r="6" spans="1:12" s="5" customFormat="1" ht="12" customHeight="1" x14ac:dyDescent="0.25">
      <c r="A6" s="144" t="s">
        <v>542</v>
      </c>
      <c r="B6" s="144" t="s">
        <v>649</v>
      </c>
      <c r="C6" s="146" t="s">
        <v>13</v>
      </c>
      <c r="D6" s="146"/>
      <c r="E6" s="146"/>
      <c r="F6" s="146"/>
      <c r="G6" s="146"/>
      <c r="H6" s="148"/>
      <c r="I6" s="149"/>
      <c r="J6" s="139">
        <f>D6*I6</f>
        <v>0</v>
      </c>
      <c r="K6" s="6"/>
    </row>
    <row r="7" spans="1:12" s="5" customFormat="1" ht="12" customHeight="1" x14ac:dyDescent="0.25">
      <c r="A7" s="144" t="s">
        <v>542</v>
      </c>
      <c r="B7" s="144" t="s">
        <v>650</v>
      </c>
      <c r="C7" s="146" t="s">
        <v>13</v>
      </c>
      <c r="D7" s="146"/>
      <c r="E7" s="146"/>
      <c r="F7" s="146"/>
      <c r="G7" s="146"/>
      <c r="H7" s="148"/>
      <c r="I7" s="149"/>
      <c r="J7" s="139">
        <f>D7*I7</f>
        <v>0</v>
      </c>
      <c r="K7" s="6"/>
    </row>
    <row r="8" spans="1:12" s="5" customFormat="1" ht="12" customHeight="1" x14ac:dyDescent="0.25">
      <c r="A8" s="144" t="s">
        <v>543</v>
      </c>
      <c r="B8" s="144" t="s">
        <v>651</v>
      </c>
      <c r="C8" s="146" t="s">
        <v>13</v>
      </c>
      <c r="D8" s="146"/>
      <c r="E8" s="146"/>
      <c r="F8" s="146"/>
      <c r="G8" s="146"/>
      <c r="H8" s="148"/>
      <c r="I8" s="149"/>
      <c r="J8" s="139">
        <f t="shared" ref="J8" si="0">D8*I8</f>
        <v>0</v>
      </c>
      <c r="K8" s="6"/>
    </row>
    <row r="9" spans="1:12" s="5" customFormat="1" ht="12" customHeight="1" x14ac:dyDescent="0.25">
      <c r="A9" s="144" t="s">
        <v>543</v>
      </c>
      <c r="B9" s="144" t="s">
        <v>652</v>
      </c>
      <c r="C9" s="146" t="s">
        <v>13</v>
      </c>
      <c r="D9" s="146"/>
      <c r="E9" s="146"/>
      <c r="F9" s="146"/>
      <c r="G9" s="146"/>
      <c r="H9" s="148"/>
      <c r="I9" s="149"/>
      <c r="J9" s="139">
        <f t="shared" ref="J9:J56" si="1">D9*I9</f>
        <v>0</v>
      </c>
      <c r="K9" s="6"/>
    </row>
    <row r="10" spans="1:12" s="5" customFormat="1" ht="12" customHeight="1" x14ac:dyDescent="0.25">
      <c r="A10" s="144" t="s">
        <v>544</v>
      </c>
      <c r="B10" s="144" t="s">
        <v>652</v>
      </c>
      <c r="C10" s="146" t="s">
        <v>13</v>
      </c>
      <c r="D10" s="146"/>
      <c r="E10" s="146"/>
      <c r="F10" s="146"/>
      <c r="G10" s="146"/>
      <c r="H10" s="148"/>
      <c r="I10" s="149"/>
      <c r="J10" s="139">
        <f t="shared" ref="J10" si="2">D10*I10</f>
        <v>0</v>
      </c>
      <c r="K10" s="6"/>
    </row>
    <row r="11" spans="1:12" s="5" customFormat="1" ht="12" customHeight="1" x14ac:dyDescent="0.25">
      <c r="A11" s="144" t="s">
        <v>544</v>
      </c>
      <c r="B11" s="144" t="s">
        <v>653</v>
      </c>
      <c r="C11" s="146" t="s">
        <v>13</v>
      </c>
      <c r="D11" s="146"/>
      <c r="E11" s="146"/>
      <c r="F11" s="146"/>
      <c r="G11" s="146"/>
      <c r="H11" s="148"/>
      <c r="I11" s="149"/>
      <c r="J11" s="139">
        <f t="shared" si="1"/>
        <v>0</v>
      </c>
      <c r="K11" s="6"/>
    </row>
    <row r="12" spans="1:12" s="5" customFormat="1" ht="12" customHeight="1" x14ac:dyDescent="0.25">
      <c r="A12" s="144" t="s">
        <v>545</v>
      </c>
      <c r="B12" s="144" t="s">
        <v>654</v>
      </c>
      <c r="C12" s="146" t="s">
        <v>6</v>
      </c>
      <c r="D12" s="146"/>
      <c r="E12" s="146"/>
      <c r="F12" s="146"/>
      <c r="G12" s="146"/>
      <c r="H12" s="148"/>
      <c r="I12" s="149"/>
      <c r="J12" s="139">
        <f t="shared" ref="J12" si="3">D12*I12</f>
        <v>0</v>
      </c>
      <c r="K12" s="6"/>
      <c r="L12" s="10"/>
    </row>
    <row r="13" spans="1:12" s="5" customFormat="1" ht="12" customHeight="1" x14ac:dyDescent="0.25">
      <c r="A13" s="144" t="s">
        <v>545</v>
      </c>
      <c r="B13" s="144" t="s">
        <v>15</v>
      </c>
      <c r="C13" s="146" t="s">
        <v>6</v>
      </c>
      <c r="D13" s="146"/>
      <c r="E13" s="146"/>
      <c r="F13" s="146"/>
      <c r="G13" s="146"/>
      <c r="H13" s="148"/>
      <c r="I13" s="149"/>
      <c r="J13" s="139">
        <f t="shared" si="1"/>
        <v>0</v>
      </c>
      <c r="K13" s="6"/>
      <c r="L13" s="10"/>
    </row>
    <row r="14" spans="1:12" s="5" customFormat="1" ht="12" customHeight="1" x14ac:dyDescent="0.25">
      <c r="A14" s="144" t="s">
        <v>546</v>
      </c>
      <c r="B14" s="144" t="s">
        <v>655</v>
      </c>
      <c r="C14" s="146" t="s">
        <v>13</v>
      </c>
      <c r="D14" s="146"/>
      <c r="E14" s="146"/>
      <c r="F14" s="146"/>
      <c r="G14" s="146"/>
      <c r="H14" s="148"/>
      <c r="I14" s="149"/>
      <c r="J14" s="139">
        <f t="shared" si="1"/>
        <v>0</v>
      </c>
      <c r="K14" s="6"/>
    </row>
    <row r="15" spans="1:12" s="5" customFormat="1" ht="12" customHeight="1" x14ac:dyDescent="0.25">
      <c r="A15" s="144" t="s">
        <v>547</v>
      </c>
      <c r="B15" s="145" t="s">
        <v>656</v>
      </c>
      <c r="C15" s="147" t="s">
        <v>13</v>
      </c>
      <c r="D15" s="147"/>
      <c r="E15" s="147"/>
      <c r="F15" s="147"/>
      <c r="G15" s="147"/>
      <c r="H15" s="148"/>
      <c r="I15" s="149"/>
      <c r="J15" s="139">
        <f t="shared" ref="J15" si="4">D15*I15</f>
        <v>0</v>
      </c>
      <c r="K15" s="6"/>
    </row>
    <row r="16" spans="1:12" s="5" customFormat="1" ht="12" customHeight="1" x14ac:dyDescent="0.25">
      <c r="A16" s="144" t="s">
        <v>547</v>
      </c>
      <c r="B16" s="145" t="s">
        <v>657</v>
      </c>
      <c r="C16" s="147" t="s">
        <v>13</v>
      </c>
      <c r="D16" s="147"/>
      <c r="E16" s="147"/>
      <c r="F16" s="147"/>
      <c r="G16" s="147"/>
      <c r="H16" s="148"/>
      <c r="I16" s="149"/>
      <c r="J16" s="139">
        <f t="shared" si="1"/>
        <v>0</v>
      </c>
      <c r="K16" s="6"/>
    </row>
    <row r="17" spans="1:13" s="5" customFormat="1" ht="12" customHeight="1" x14ac:dyDescent="0.25">
      <c r="A17" s="144" t="s">
        <v>547</v>
      </c>
      <c r="B17" s="145" t="s">
        <v>658</v>
      </c>
      <c r="C17" s="147" t="s">
        <v>13</v>
      </c>
      <c r="D17" s="147"/>
      <c r="E17" s="147"/>
      <c r="F17" s="147"/>
      <c r="G17" s="147"/>
      <c r="H17" s="148"/>
      <c r="I17" s="149"/>
      <c r="J17" s="139">
        <f t="shared" ref="J17:J18" si="5">D17*I17</f>
        <v>0</v>
      </c>
      <c r="K17" s="6"/>
    </row>
    <row r="18" spans="1:13" s="5" customFormat="1" ht="12" customHeight="1" x14ac:dyDescent="0.25">
      <c r="A18" s="144" t="s">
        <v>548</v>
      </c>
      <c r="B18" s="144" t="s">
        <v>659</v>
      </c>
      <c r="C18" s="146" t="s">
        <v>13</v>
      </c>
      <c r="D18" s="146"/>
      <c r="E18" s="146"/>
      <c r="F18" s="146"/>
      <c r="G18" s="146"/>
      <c r="H18" s="148"/>
      <c r="I18" s="150"/>
      <c r="J18" s="139">
        <f t="shared" si="5"/>
        <v>0</v>
      </c>
      <c r="K18" s="6"/>
    </row>
    <row r="19" spans="1:13" s="5" customFormat="1" ht="12" customHeight="1" x14ac:dyDescent="0.25">
      <c r="A19" s="144" t="s">
        <v>548</v>
      </c>
      <c r="B19" s="144" t="s">
        <v>660</v>
      </c>
      <c r="C19" s="146" t="s">
        <v>13</v>
      </c>
      <c r="D19" s="146"/>
      <c r="E19" s="146"/>
      <c r="F19" s="146"/>
      <c r="G19" s="146"/>
      <c r="H19" s="148"/>
      <c r="I19" s="150"/>
      <c r="J19" s="139">
        <f t="shared" si="1"/>
        <v>0</v>
      </c>
      <c r="K19" s="6"/>
    </row>
    <row r="20" spans="1:13" s="5" customFormat="1" ht="12" customHeight="1" x14ac:dyDescent="0.25">
      <c r="A20" s="144" t="s">
        <v>549</v>
      </c>
      <c r="B20" s="144" t="s">
        <v>661</v>
      </c>
      <c r="C20" s="146" t="s">
        <v>13</v>
      </c>
      <c r="D20" s="146"/>
      <c r="E20" s="146"/>
      <c r="F20" s="146"/>
      <c r="G20" s="146"/>
      <c r="H20" s="148"/>
      <c r="I20" s="149"/>
      <c r="J20" s="139">
        <f t="shared" ref="J20" si="6">D20*I20</f>
        <v>0</v>
      </c>
      <c r="K20" s="6"/>
    </row>
    <row r="21" spans="1:13" s="5" customFormat="1" ht="12" customHeight="1" x14ac:dyDescent="0.25">
      <c r="A21" s="144" t="s">
        <v>549</v>
      </c>
      <c r="B21" s="144" t="s">
        <v>662</v>
      </c>
      <c r="C21" s="146" t="s">
        <v>13</v>
      </c>
      <c r="D21" s="146"/>
      <c r="E21" s="146"/>
      <c r="F21" s="146"/>
      <c r="G21" s="146"/>
      <c r="H21" s="148"/>
      <c r="I21" s="149"/>
      <c r="J21" s="139">
        <f t="shared" si="1"/>
        <v>0</v>
      </c>
      <c r="K21" s="6"/>
    </row>
    <row r="22" spans="1:13" s="5" customFormat="1" ht="12" customHeight="1" x14ac:dyDescent="0.25">
      <c r="A22" s="144" t="s">
        <v>550</v>
      </c>
      <c r="B22" s="144" t="s">
        <v>663</v>
      </c>
      <c r="C22" s="146" t="s">
        <v>13</v>
      </c>
      <c r="D22" s="146"/>
      <c r="E22" s="146"/>
      <c r="F22" s="146"/>
      <c r="G22" s="146"/>
      <c r="H22" s="148"/>
      <c r="I22" s="149"/>
      <c r="J22" s="139">
        <f t="shared" ref="J22" si="7">D22*I22</f>
        <v>0</v>
      </c>
      <c r="K22" s="6"/>
      <c r="M22" s="6"/>
    </row>
    <row r="23" spans="1:13" s="5" customFormat="1" ht="12" customHeight="1" x14ac:dyDescent="0.25">
      <c r="A23" s="144" t="s">
        <v>550</v>
      </c>
      <c r="B23" s="144" t="s">
        <v>664</v>
      </c>
      <c r="C23" s="146" t="s">
        <v>13</v>
      </c>
      <c r="D23" s="146"/>
      <c r="E23" s="146"/>
      <c r="F23" s="146"/>
      <c r="G23" s="146"/>
      <c r="H23" s="148"/>
      <c r="I23" s="149"/>
      <c r="J23" s="139">
        <f t="shared" si="1"/>
        <v>0</v>
      </c>
      <c r="K23" s="6"/>
      <c r="M23" s="6"/>
    </row>
    <row r="24" spans="1:13" s="5" customFormat="1" ht="12" customHeight="1" x14ac:dyDescent="0.25">
      <c r="A24" s="144" t="s">
        <v>551</v>
      </c>
      <c r="B24" s="144" t="s">
        <v>665</v>
      </c>
      <c r="C24" s="146" t="s">
        <v>13</v>
      </c>
      <c r="D24" s="146"/>
      <c r="E24" s="146"/>
      <c r="F24" s="146"/>
      <c r="G24" s="146"/>
      <c r="H24" s="148"/>
      <c r="I24" s="149"/>
      <c r="J24" s="139">
        <f t="shared" ref="J24" si="8">D24*I24</f>
        <v>0</v>
      </c>
      <c r="K24" s="6"/>
    </row>
    <row r="25" spans="1:13" s="5" customFormat="1" ht="12" customHeight="1" x14ac:dyDescent="0.25">
      <c r="A25" s="144" t="s">
        <v>551</v>
      </c>
      <c r="B25" s="144" t="s">
        <v>666</v>
      </c>
      <c r="C25" s="146" t="s">
        <v>13</v>
      </c>
      <c r="D25" s="146"/>
      <c r="E25" s="146"/>
      <c r="F25" s="146"/>
      <c r="G25" s="146"/>
      <c r="H25" s="148"/>
      <c r="I25" s="149"/>
      <c r="J25" s="139">
        <f t="shared" si="1"/>
        <v>0</v>
      </c>
      <c r="K25" s="6"/>
    </row>
    <row r="26" spans="1:13" s="5" customFormat="1" ht="12" customHeight="1" x14ac:dyDescent="0.25">
      <c r="A26" s="144" t="s">
        <v>552</v>
      </c>
      <c r="B26" s="144" t="s">
        <v>667</v>
      </c>
      <c r="C26" s="146" t="s">
        <v>13</v>
      </c>
      <c r="D26" s="146"/>
      <c r="E26" s="146"/>
      <c r="F26" s="146"/>
      <c r="G26" s="146"/>
      <c r="H26" s="148"/>
      <c r="I26" s="149"/>
      <c r="J26" s="139">
        <f t="shared" ref="J26" si="9">D26*I26</f>
        <v>0</v>
      </c>
      <c r="K26" s="6"/>
    </row>
    <row r="27" spans="1:13" s="5" customFormat="1" ht="12" customHeight="1" x14ac:dyDescent="0.25">
      <c r="A27" s="144" t="s">
        <v>552</v>
      </c>
      <c r="B27" s="144" t="s">
        <v>668</v>
      </c>
      <c r="C27" s="146" t="s">
        <v>13</v>
      </c>
      <c r="D27" s="146"/>
      <c r="E27" s="146"/>
      <c r="F27" s="146"/>
      <c r="G27" s="146"/>
      <c r="H27" s="148"/>
      <c r="I27" s="149"/>
      <c r="J27" s="139">
        <f t="shared" si="1"/>
        <v>0</v>
      </c>
      <c r="K27" s="6"/>
    </row>
    <row r="28" spans="1:13" s="5" customFormat="1" ht="12" customHeight="1" x14ac:dyDescent="0.25">
      <c r="A28" s="144" t="s">
        <v>554</v>
      </c>
      <c r="B28" s="144" t="s">
        <v>670</v>
      </c>
      <c r="C28" s="146" t="s">
        <v>13</v>
      </c>
      <c r="D28" s="146"/>
      <c r="E28" s="146"/>
      <c r="F28" s="146"/>
      <c r="G28" s="146"/>
      <c r="H28" s="148"/>
      <c r="I28" s="149"/>
      <c r="J28" s="139">
        <f t="shared" ref="J28" si="10">D28*I28</f>
        <v>0</v>
      </c>
      <c r="K28" s="6"/>
    </row>
    <row r="29" spans="1:13" s="5" customFormat="1" ht="12" customHeight="1" x14ac:dyDescent="0.25">
      <c r="A29" s="144" t="s">
        <v>554</v>
      </c>
      <c r="B29" s="144" t="s">
        <v>672</v>
      </c>
      <c r="C29" s="146" t="s">
        <v>13</v>
      </c>
      <c r="D29" s="146"/>
      <c r="E29" s="146"/>
      <c r="F29" s="146"/>
      <c r="G29" s="146"/>
      <c r="H29" s="148"/>
      <c r="I29" s="149"/>
      <c r="J29" s="139">
        <f t="shared" si="1"/>
        <v>0</v>
      </c>
      <c r="K29" s="6"/>
    </row>
    <row r="30" spans="1:13" s="5" customFormat="1" ht="12" customHeight="1" x14ac:dyDescent="0.25">
      <c r="A30" s="144" t="s">
        <v>555</v>
      </c>
      <c r="B30" s="144" t="s">
        <v>669</v>
      </c>
      <c r="C30" s="146" t="s">
        <v>13</v>
      </c>
      <c r="D30" s="146"/>
      <c r="E30" s="146"/>
      <c r="F30" s="146"/>
      <c r="G30" s="146"/>
      <c r="H30" s="148"/>
      <c r="I30" s="149"/>
      <c r="J30" s="139">
        <f t="shared" ref="J30" si="11">D30*I30</f>
        <v>0</v>
      </c>
      <c r="K30" s="6"/>
    </row>
    <row r="31" spans="1:13" s="5" customFormat="1" ht="12" customHeight="1" x14ac:dyDescent="0.25">
      <c r="A31" s="144" t="s">
        <v>555</v>
      </c>
      <c r="B31" s="144" t="s">
        <v>673</v>
      </c>
      <c r="C31" s="146" t="s">
        <v>13</v>
      </c>
      <c r="D31" s="146"/>
      <c r="E31" s="146"/>
      <c r="F31" s="146"/>
      <c r="G31" s="146"/>
      <c r="H31" s="148"/>
      <c r="I31" s="149"/>
      <c r="J31" s="139">
        <f t="shared" si="1"/>
        <v>0</v>
      </c>
      <c r="K31" s="6"/>
    </row>
    <row r="32" spans="1:13" s="5" customFormat="1" ht="12" customHeight="1" x14ac:dyDescent="0.25">
      <c r="A32" s="144" t="s">
        <v>556</v>
      </c>
      <c r="B32" s="144" t="s">
        <v>671</v>
      </c>
      <c r="C32" s="146" t="s">
        <v>13</v>
      </c>
      <c r="D32" s="146"/>
      <c r="E32" s="146"/>
      <c r="F32" s="146"/>
      <c r="G32" s="146"/>
      <c r="H32" s="148"/>
      <c r="I32" s="149"/>
      <c r="J32" s="139">
        <f t="shared" ref="J32" si="12">D32*I32</f>
        <v>0</v>
      </c>
      <c r="K32" s="6"/>
    </row>
    <row r="33" spans="1:11" s="5" customFormat="1" ht="12" customHeight="1" x14ac:dyDescent="0.25">
      <c r="A33" s="144" t="s">
        <v>556</v>
      </c>
      <c r="B33" s="144" t="s">
        <v>674</v>
      </c>
      <c r="C33" s="146" t="s">
        <v>13</v>
      </c>
      <c r="D33" s="146"/>
      <c r="E33" s="146"/>
      <c r="F33" s="146"/>
      <c r="G33" s="146"/>
      <c r="H33" s="148"/>
      <c r="I33" s="149"/>
      <c r="J33" s="139">
        <f t="shared" si="1"/>
        <v>0</v>
      </c>
      <c r="K33" s="6"/>
    </row>
    <row r="34" spans="1:11" s="5" customFormat="1" ht="12" customHeight="1" x14ac:dyDescent="0.25">
      <c r="A34" s="144" t="s">
        <v>557</v>
      </c>
      <c r="B34" s="144" t="s">
        <v>675</v>
      </c>
      <c r="C34" s="146" t="s">
        <v>37</v>
      </c>
      <c r="D34" s="146"/>
      <c r="E34" s="146"/>
      <c r="F34" s="146"/>
      <c r="G34" s="146"/>
      <c r="H34" s="148"/>
      <c r="I34" s="149"/>
      <c r="J34" s="139">
        <f t="shared" ref="J34" si="13">D34*I34</f>
        <v>0</v>
      </c>
      <c r="K34" s="6"/>
    </row>
    <row r="35" spans="1:11" s="5" customFormat="1" ht="12" customHeight="1" x14ac:dyDescent="0.25">
      <c r="A35" s="144" t="s">
        <v>557</v>
      </c>
      <c r="B35" s="144" t="s">
        <v>174</v>
      </c>
      <c r="C35" s="146" t="s">
        <v>37</v>
      </c>
      <c r="D35" s="146"/>
      <c r="E35" s="146"/>
      <c r="F35" s="146"/>
      <c r="G35" s="146"/>
      <c r="H35" s="148"/>
      <c r="I35" s="149"/>
      <c r="J35" s="139">
        <f t="shared" si="1"/>
        <v>0</v>
      </c>
      <c r="K35" s="6"/>
    </row>
    <row r="36" spans="1:11" s="5" customFormat="1" ht="12" customHeight="1" x14ac:dyDescent="0.25">
      <c r="A36" s="144" t="s">
        <v>558</v>
      </c>
      <c r="B36" s="144" t="s">
        <v>676</v>
      </c>
      <c r="C36" s="146" t="s">
        <v>13</v>
      </c>
      <c r="D36" s="146"/>
      <c r="E36" s="146"/>
      <c r="F36" s="146"/>
      <c r="G36" s="146"/>
      <c r="H36" s="148"/>
      <c r="I36" s="149"/>
      <c r="J36" s="139">
        <f t="shared" ref="J36" si="14">D36*I36</f>
        <v>0</v>
      </c>
      <c r="K36" s="6"/>
    </row>
    <row r="37" spans="1:11" s="5" customFormat="1" ht="12" customHeight="1" x14ac:dyDescent="0.25">
      <c r="A37" s="144" t="s">
        <v>558</v>
      </c>
      <c r="B37" s="144" t="s">
        <v>176</v>
      </c>
      <c r="C37" s="146" t="s">
        <v>13</v>
      </c>
      <c r="D37" s="146"/>
      <c r="E37" s="146"/>
      <c r="F37" s="146"/>
      <c r="G37" s="146"/>
      <c r="H37" s="148"/>
      <c r="I37" s="149"/>
      <c r="J37" s="139">
        <f t="shared" si="1"/>
        <v>0</v>
      </c>
      <c r="K37" s="6"/>
    </row>
    <row r="38" spans="1:11" s="5" customFormat="1" ht="12" customHeight="1" x14ac:dyDescent="0.25">
      <c r="A38" s="144" t="s">
        <v>559</v>
      </c>
      <c r="B38" s="144" t="s">
        <v>677</v>
      </c>
      <c r="C38" s="146" t="s">
        <v>37</v>
      </c>
      <c r="D38" s="146"/>
      <c r="E38" s="146"/>
      <c r="F38" s="146"/>
      <c r="G38" s="146"/>
      <c r="H38" s="148"/>
      <c r="I38" s="149"/>
      <c r="J38" s="139">
        <f t="shared" ref="J38" si="15">D38*I38</f>
        <v>0</v>
      </c>
      <c r="K38" s="6"/>
    </row>
    <row r="39" spans="1:11" s="5" customFormat="1" ht="12" customHeight="1" x14ac:dyDescent="0.25">
      <c r="A39" s="144" t="s">
        <v>559</v>
      </c>
      <c r="B39" s="144" t="s">
        <v>160</v>
      </c>
      <c r="C39" s="146" t="s">
        <v>37</v>
      </c>
      <c r="D39" s="146"/>
      <c r="E39" s="146"/>
      <c r="F39" s="146"/>
      <c r="G39" s="146"/>
      <c r="H39" s="148"/>
      <c r="I39" s="149"/>
      <c r="J39" s="139">
        <f t="shared" si="1"/>
        <v>0</v>
      </c>
      <c r="K39" s="6"/>
    </row>
    <row r="40" spans="1:11" s="5" customFormat="1" ht="12" customHeight="1" x14ac:dyDescent="0.25">
      <c r="A40" s="144" t="s">
        <v>560</v>
      </c>
      <c r="B40" s="144" t="s">
        <v>521</v>
      </c>
      <c r="C40" s="146" t="s">
        <v>7</v>
      </c>
      <c r="D40" s="146"/>
      <c r="E40" s="146"/>
      <c r="F40" s="146"/>
      <c r="G40" s="146"/>
      <c r="H40" s="148"/>
      <c r="I40" s="149"/>
      <c r="J40" s="139">
        <f t="shared" si="1"/>
        <v>0</v>
      </c>
      <c r="K40" s="6"/>
    </row>
    <row r="41" spans="1:11" s="5" customFormat="1" ht="12" customHeight="1" x14ac:dyDescent="0.25">
      <c r="A41" s="144" t="s">
        <v>561</v>
      </c>
      <c r="B41" s="144" t="s">
        <v>553</v>
      </c>
      <c r="C41" s="146" t="s">
        <v>7</v>
      </c>
      <c r="D41" s="146"/>
      <c r="E41" s="146"/>
      <c r="F41" s="146"/>
      <c r="G41" s="146"/>
      <c r="H41" s="148"/>
      <c r="I41" s="149"/>
      <c r="J41" s="139">
        <f t="shared" si="1"/>
        <v>0</v>
      </c>
      <c r="K41" s="6"/>
    </row>
    <row r="42" spans="1:11" s="5" customFormat="1" ht="12" customHeight="1" x14ac:dyDescent="0.25">
      <c r="A42" s="144" t="s">
        <v>562</v>
      </c>
      <c r="B42" s="144" t="s">
        <v>21</v>
      </c>
      <c r="C42" s="146" t="s">
        <v>7</v>
      </c>
      <c r="D42" s="146"/>
      <c r="E42" s="146"/>
      <c r="F42" s="146"/>
      <c r="G42" s="146"/>
      <c r="H42" s="148"/>
      <c r="I42" s="149"/>
      <c r="J42" s="139">
        <f t="shared" si="1"/>
        <v>0</v>
      </c>
      <c r="K42" s="6"/>
    </row>
    <row r="43" spans="1:11" s="5" customFormat="1" ht="12" customHeight="1" x14ac:dyDescent="0.25">
      <c r="A43" s="144" t="s">
        <v>563</v>
      </c>
      <c r="B43" s="144" t="s">
        <v>22</v>
      </c>
      <c r="C43" s="146" t="s">
        <v>7</v>
      </c>
      <c r="D43" s="146"/>
      <c r="E43" s="146"/>
      <c r="F43" s="146"/>
      <c r="G43" s="146"/>
      <c r="H43" s="148"/>
      <c r="I43" s="149"/>
      <c r="J43" s="139">
        <f t="shared" si="1"/>
        <v>0</v>
      </c>
      <c r="K43" s="6"/>
    </row>
    <row r="44" spans="1:11" s="5" customFormat="1" ht="12" customHeight="1" x14ac:dyDescent="0.25">
      <c r="A44" s="144" t="s">
        <v>564</v>
      </c>
      <c r="B44" s="144" t="s">
        <v>522</v>
      </c>
      <c r="C44" s="146" t="s">
        <v>7</v>
      </c>
      <c r="D44" s="146"/>
      <c r="E44" s="146"/>
      <c r="F44" s="146"/>
      <c r="G44" s="146"/>
      <c r="H44" s="148"/>
      <c r="I44" s="149"/>
      <c r="J44" s="139">
        <f t="shared" si="1"/>
        <v>0</v>
      </c>
      <c r="K44" s="6"/>
    </row>
    <row r="45" spans="1:11" s="5" customFormat="1" ht="12" customHeight="1" x14ac:dyDescent="0.25">
      <c r="A45" s="144" t="s">
        <v>565</v>
      </c>
      <c r="B45" s="144" t="s">
        <v>678</v>
      </c>
      <c r="C45" s="146" t="s">
        <v>13</v>
      </c>
      <c r="D45" s="146"/>
      <c r="E45" s="146"/>
      <c r="F45" s="146"/>
      <c r="G45" s="146"/>
      <c r="H45" s="148"/>
      <c r="I45" s="149"/>
      <c r="J45" s="139">
        <f t="shared" ref="J45" si="16">D45*I45</f>
        <v>0</v>
      </c>
      <c r="K45" s="6"/>
    </row>
    <row r="46" spans="1:11" s="5" customFormat="1" ht="12" customHeight="1" x14ac:dyDescent="0.25">
      <c r="A46" s="144" t="s">
        <v>565</v>
      </c>
      <c r="B46" s="144" t="s">
        <v>679</v>
      </c>
      <c r="C46" s="146" t="s">
        <v>13</v>
      </c>
      <c r="D46" s="146"/>
      <c r="E46" s="146"/>
      <c r="F46" s="146"/>
      <c r="G46" s="146"/>
      <c r="H46" s="148"/>
      <c r="I46" s="149"/>
      <c r="J46" s="139">
        <f t="shared" si="1"/>
        <v>0</v>
      </c>
      <c r="K46" s="6"/>
    </row>
    <row r="47" spans="1:11" s="5" customFormat="1" ht="12" customHeight="1" x14ac:dyDescent="0.25">
      <c r="A47" s="144" t="s">
        <v>631</v>
      </c>
      <c r="B47" s="144" t="s">
        <v>680</v>
      </c>
      <c r="C47" s="146" t="s">
        <v>13</v>
      </c>
      <c r="D47" s="146"/>
      <c r="E47" s="146"/>
      <c r="F47" s="146"/>
      <c r="G47" s="146"/>
      <c r="H47" s="148"/>
      <c r="I47" s="149"/>
      <c r="J47" s="139">
        <f t="shared" ref="J47" si="17">D47*I47</f>
        <v>0</v>
      </c>
      <c r="K47" s="6"/>
    </row>
    <row r="48" spans="1:11" s="5" customFormat="1" ht="12" customHeight="1" x14ac:dyDescent="0.25">
      <c r="A48" s="144" t="s">
        <v>631</v>
      </c>
      <c r="B48" s="144" t="s">
        <v>27</v>
      </c>
      <c r="C48" s="146" t="s">
        <v>13</v>
      </c>
      <c r="D48" s="146"/>
      <c r="E48" s="146"/>
      <c r="F48" s="146"/>
      <c r="G48" s="146"/>
      <c r="H48" s="148"/>
      <c r="I48" s="149"/>
      <c r="J48" s="139">
        <f t="shared" si="1"/>
        <v>0</v>
      </c>
      <c r="K48" s="6"/>
    </row>
    <row r="49" spans="1:11" s="5" customFormat="1" ht="12" customHeight="1" x14ac:dyDescent="0.25">
      <c r="A49" s="144" t="s">
        <v>632</v>
      </c>
      <c r="B49" s="144" t="s">
        <v>681</v>
      </c>
      <c r="C49" s="146" t="s">
        <v>13</v>
      </c>
      <c r="D49" s="146"/>
      <c r="E49" s="146"/>
      <c r="F49" s="146"/>
      <c r="G49" s="146"/>
      <c r="H49" s="148"/>
      <c r="I49" s="149"/>
      <c r="J49" s="139">
        <f t="shared" ref="J49" si="18">D49*I49</f>
        <v>0</v>
      </c>
      <c r="K49" s="6"/>
    </row>
    <row r="50" spans="1:11" s="5" customFormat="1" ht="12" customHeight="1" x14ac:dyDescent="0.25">
      <c r="A50" s="144" t="s">
        <v>632</v>
      </c>
      <c r="B50" s="144" t="s">
        <v>684</v>
      </c>
      <c r="C50" s="146" t="s">
        <v>13</v>
      </c>
      <c r="D50" s="146"/>
      <c r="E50" s="146"/>
      <c r="F50" s="146"/>
      <c r="G50" s="146"/>
      <c r="H50" s="148"/>
      <c r="I50" s="149"/>
      <c r="J50" s="139">
        <f t="shared" si="1"/>
        <v>0</v>
      </c>
      <c r="K50" s="6"/>
    </row>
    <row r="51" spans="1:11" s="5" customFormat="1" ht="12" customHeight="1" x14ac:dyDescent="0.25">
      <c r="A51" s="144" t="s">
        <v>633</v>
      </c>
      <c r="B51" s="144" t="s">
        <v>682</v>
      </c>
      <c r="C51" s="146" t="s">
        <v>13</v>
      </c>
      <c r="D51" s="146"/>
      <c r="E51" s="146"/>
      <c r="F51" s="146"/>
      <c r="G51" s="146"/>
      <c r="H51" s="148"/>
      <c r="I51" s="149"/>
      <c r="J51" s="139">
        <f t="shared" ref="J51" si="19">D51*I51</f>
        <v>0</v>
      </c>
      <c r="K51" s="6"/>
    </row>
    <row r="52" spans="1:11" s="5" customFormat="1" ht="12" customHeight="1" x14ac:dyDescent="0.25">
      <c r="A52" s="144" t="s">
        <v>633</v>
      </c>
      <c r="B52" s="144" t="s">
        <v>685</v>
      </c>
      <c r="C52" s="146" t="s">
        <v>13</v>
      </c>
      <c r="D52" s="146"/>
      <c r="E52" s="146"/>
      <c r="F52" s="146"/>
      <c r="G52" s="146"/>
      <c r="H52" s="148"/>
      <c r="I52" s="149"/>
      <c r="J52" s="139">
        <f t="shared" si="1"/>
        <v>0</v>
      </c>
      <c r="K52" s="6"/>
    </row>
    <row r="53" spans="1:11" s="5" customFormat="1" ht="12" customHeight="1" x14ac:dyDescent="0.25">
      <c r="A53" s="144" t="s">
        <v>634</v>
      </c>
      <c r="B53" s="144" t="s">
        <v>683</v>
      </c>
      <c r="C53" s="146" t="s">
        <v>13</v>
      </c>
      <c r="D53" s="146"/>
      <c r="E53" s="146"/>
      <c r="F53" s="146"/>
      <c r="G53" s="146"/>
      <c r="H53" s="148"/>
      <c r="I53" s="149"/>
      <c r="J53" s="139">
        <f t="shared" ref="J53" si="20">D53*I53</f>
        <v>0</v>
      </c>
      <c r="K53" s="6"/>
    </row>
    <row r="54" spans="1:11" s="5" customFormat="1" ht="12" customHeight="1" x14ac:dyDescent="0.25">
      <c r="A54" s="144" t="s">
        <v>634</v>
      </c>
      <c r="B54" s="144" t="s">
        <v>686</v>
      </c>
      <c r="C54" s="146" t="s">
        <v>13</v>
      </c>
      <c r="D54" s="146"/>
      <c r="E54" s="146"/>
      <c r="F54" s="146"/>
      <c r="G54" s="146"/>
      <c r="H54" s="148"/>
      <c r="I54" s="149"/>
      <c r="J54" s="139">
        <f t="shared" si="1"/>
        <v>0</v>
      </c>
      <c r="K54" s="6"/>
    </row>
    <row r="55" spans="1:11" s="5" customFormat="1" ht="12" customHeight="1" x14ac:dyDescent="0.25">
      <c r="A55" s="144" t="s">
        <v>635</v>
      </c>
      <c r="B55" s="144" t="s">
        <v>179</v>
      </c>
      <c r="C55" s="146" t="s">
        <v>13</v>
      </c>
      <c r="D55" s="146"/>
      <c r="E55" s="146"/>
      <c r="F55" s="146"/>
      <c r="G55" s="146"/>
      <c r="H55" s="148"/>
      <c r="I55" s="149"/>
      <c r="J55" s="139">
        <f t="shared" si="1"/>
        <v>0</v>
      </c>
      <c r="K55" s="6"/>
    </row>
    <row r="56" spans="1:11" s="5" customFormat="1" ht="12" customHeight="1" x14ac:dyDescent="0.25">
      <c r="A56" s="144" t="s">
        <v>636</v>
      </c>
      <c r="B56" s="144" t="s">
        <v>523</v>
      </c>
      <c r="C56" s="146" t="s">
        <v>13</v>
      </c>
      <c r="D56" s="146"/>
      <c r="E56" s="146"/>
      <c r="F56" s="146"/>
      <c r="G56" s="146"/>
      <c r="H56" s="148"/>
      <c r="I56" s="149"/>
      <c r="J56" s="139">
        <f t="shared" si="1"/>
        <v>0</v>
      </c>
      <c r="K56" s="6"/>
    </row>
    <row r="57" spans="1:11" s="5" customFormat="1" ht="12" customHeight="1" x14ac:dyDescent="0.25">
      <c r="A57" s="169"/>
      <c r="B57" s="169"/>
      <c r="C57" s="169"/>
      <c r="D57" s="169"/>
      <c r="E57" s="169"/>
      <c r="F57" s="169"/>
      <c r="G57" s="169"/>
      <c r="H57" s="169"/>
      <c r="I57" s="169"/>
      <c r="J57" s="170"/>
      <c r="K57" s="6"/>
    </row>
    <row r="58" spans="1:11" s="5" customFormat="1" ht="12" customHeight="1" x14ac:dyDescent="0.25">
      <c r="A58" s="144" t="s">
        <v>566</v>
      </c>
      <c r="B58" s="144" t="s">
        <v>204</v>
      </c>
      <c r="C58" s="141" t="s">
        <v>7</v>
      </c>
      <c r="D58" s="167"/>
      <c r="E58" s="167"/>
      <c r="F58" s="167"/>
      <c r="G58" s="167"/>
      <c r="H58" s="151"/>
      <c r="I58" s="149"/>
      <c r="J58" s="139">
        <f>D58*I58</f>
        <v>0</v>
      </c>
      <c r="K58" s="6"/>
    </row>
    <row r="59" spans="1:11" s="5" customFormat="1" ht="12" customHeight="1" x14ac:dyDescent="0.25">
      <c r="A59" s="144" t="s">
        <v>567</v>
      </c>
      <c r="B59" s="144" t="s">
        <v>31</v>
      </c>
      <c r="C59" s="141" t="s">
        <v>6</v>
      </c>
      <c r="D59" s="167"/>
      <c r="E59" s="167"/>
      <c r="F59" s="167"/>
      <c r="G59" s="167"/>
      <c r="H59" s="151"/>
      <c r="I59" s="149"/>
      <c r="J59" s="139">
        <f t="shared" ref="J59:J66" si="21">D59*I59</f>
        <v>0</v>
      </c>
      <c r="K59" s="6"/>
    </row>
    <row r="60" spans="1:11" s="5" customFormat="1" ht="12" customHeight="1" x14ac:dyDescent="0.25">
      <c r="A60" s="144" t="s">
        <v>568</v>
      </c>
      <c r="B60" s="144" t="s">
        <v>687</v>
      </c>
      <c r="C60" s="141" t="s">
        <v>7</v>
      </c>
      <c r="D60" s="167"/>
      <c r="E60" s="167"/>
      <c r="F60" s="167"/>
      <c r="G60" s="167"/>
      <c r="H60" s="151"/>
      <c r="I60" s="149"/>
      <c r="J60" s="139">
        <f t="shared" ref="J60" si="22">D60*I60</f>
        <v>0</v>
      </c>
      <c r="K60" s="6"/>
    </row>
    <row r="61" spans="1:11" s="5" customFormat="1" ht="12" customHeight="1" x14ac:dyDescent="0.25">
      <c r="A61" s="144" t="s">
        <v>568</v>
      </c>
      <c r="B61" s="144" t="s">
        <v>207</v>
      </c>
      <c r="C61" s="141" t="s">
        <v>7</v>
      </c>
      <c r="D61" s="167"/>
      <c r="E61" s="167"/>
      <c r="F61" s="167"/>
      <c r="G61" s="167"/>
      <c r="H61" s="151"/>
      <c r="I61" s="149"/>
      <c r="J61" s="139">
        <f t="shared" si="21"/>
        <v>0</v>
      </c>
      <c r="K61" s="6"/>
    </row>
    <row r="62" spans="1:11" s="5" customFormat="1" ht="12" customHeight="1" x14ac:dyDescent="0.25">
      <c r="A62" s="144" t="s">
        <v>569</v>
      </c>
      <c r="B62" s="144" t="s">
        <v>524</v>
      </c>
      <c r="C62" s="141" t="s">
        <v>6</v>
      </c>
      <c r="D62" s="167"/>
      <c r="E62" s="167"/>
      <c r="F62" s="167"/>
      <c r="G62" s="167"/>
      <c r="H62" s="151"/>
      <c r="I62" s="149"/>
      <c r="J62" s="139">
        <f t="shared" si="21"/>
        <v>0</v>
      </c>
      <c r="K62" s="6"/>
    </row>
    <row r="63" spans="1:11" s="5" customFormat="1" ht="12" customHeight="1" x14ac:dyDescent="0.25">
      <c r="A63" s="144" t="s">
        <v>570</v>
      </c>
      <c r="B63" s="144" t="s">
        <v>688</v>
      </c>
      <c r="C63" s="141" t="s">
        <v>6</v>
      </c>
      <c r="D63" s="167"/>
      <c r="E63" s="167"/>
      <c r="F63" s="167"/>
      <c r="G63" s="167"/>
      <c r="H63" s="151"/>
      <c r="I63" s="149"/>
      <c r="J63" s="139">
        <f t="shared" ref="J63" si="23">D63*I63</f>
        <v>0</v>
      </c>
      <c r="K63" s="6"/>
    </row>
    <row r="64" spans="1:11" s="5" customFormat="1" ht="12" customHeight="1" x14ac:dyDescent="0.25">
      <c r="A64" s="144" t="s">
        <v>570</v>
      </c>
      <c r="B64" s="144" t="s">
        <v>180</v>
      </c>
      <c r="C64" s="141" t="s">
        <v>6</v>
      </c>
      <c r="D64" s="167"/>
      <c r="E64" s="167"/>
      <c r="F64" s="167"/>
      <c r="G64" s="167"/>
      <c r="H64" s="151"/>
      <c r="I64" s="149"/>
      <c r="J64" s="139">
        <f t="shared" si="21"/>
        <v>0</v>
      </c>
      <c r="K64" s="6"/>
    </row>
    <row r="65" spans="1:11" s="5" customFormat="1" ht="12" customHeight="1" x14ac:dyDescent="0.25">
      <c r="A65" s="144" t="s">
        <v>571</v>
      </c>
      <c r="B65" s="144" t="s">
        <v>33</v>
      </c>
      <c r="C65" s="141" t="s">
        <v>6</v>
      </c>
      <c r="D65" s="167"/>
      <c r="E65" s="167"/>
      <c r="F65" s="167"/>
      <c r="G65" s="167"/>
      <c r="H65" s="151"/>
      <c r="I65" s="149"/>
      <c r="J65" s="139">
        <f t="shared" si="21"/>
        <v>0</v>
      </c>
      <c r="K65" s="6"/>
    </row>
    <row r="66" spans="1:11" s="5" customFormat="1" ht="12" customHeight="1" x14ac:dyDescent="0.25">
      <c r="A66" s="144" t="s">
        <v>571</v>
      </c>
      <c r="B66" s="144" t="s">
        <v>34</v>
      </c>
      <c r="C66" s="141" t="s">
        <v>6</v>
      </c>
      <c r="D66" s="167"/>
      <c r="E66" s="167"/>
      <c r="F66" s="167"/>
      <c r="G66" s="167"/>
      <c r="H66" s="151"/>
      <c r="I66" s="149"/>
      <c r="J66" s="139">
        <f t="shared" si="21"/>
        <v>0</v>
      </c>
      <c r="K66" s="6"/>
    </row>
    <row r="67" spans="1:11" s="5" customFormat="1" ht="12" customHeight="1" x14ac:dyDescent="0.25">
      <c r="A67" s="169"/>
      <c r="B67" s="169"/>
      <c r="C67" s="169"/>
      <c r="D67" s="169"/>
      <c r="E67" s="169"/>
      <c r="F67" s="169"/>
      <c r="G67" s="169"/>
      <c r="H67" s="169"/>
      <c r="I67" s="169"/>
      <c r="J67" s="170"/>
      <c r="K67" s="6"/>
    </row>
    <row r="68" spans="1:11" s="5" customFormat="1" ht="12" customHeight="1" x14ac:dyDescent="0.25">
      <c r="A68" s="144" t="s">
        <v>572</v>
      </c>
      <c r="B68" s="144" t="s">
        <v>39</v>
      </c>
      <c r="C68" s="146" t="s">
        <v>8</v>
      </c>
      <c r="D68" s="146"/>
      <c r="E68" s="146"/>
      <c r="F68" s="146"/>
      <c r="G68" s="146"/>
      <c r="H68" s="148"/>
      <c r="I68" s="149"/>
      <c r="J68" s="139">
        <f>D68*I68</f>
        <v>0</v>
      </c>
      <c r="K68" s="6"/>
    </row>
    <row r="69" spans="1:11" s="5" customFormat="1" ht="12" customHeight="1" x14ac:dyDescent="0.25">
      <c r="A69" s="144" t="s">
        <v>573</v>
      </c>
      <c r="B69" s="144" t="s">
        <v>40</v>
      </c>
      <c r="C69" s="146" t="s">
        <v>7</v>
      </c>
      <c r="D69" s="146"/>
      <c r="E69" s="146"/>
      <c r="F69" s="146"/>
      <c r="G69" s="146"/>
      <c r="H69" s="148"/>
      <c r="I69" s="149"/>
      <c r="J69" s="139">
        <f t="shared" ref="J69:J74" si="24">D69*I69</f>
        <v>0</v>
      </c>
      <c r="K69" s="6"/>
    </row>
    <row r="70" spans="1:11" s="5" customFormat="1" ht="12" customHeight="1" x14ac:dyDescent="0.25">
      <c r="A70" s="144" t="s">
        <v>574</v>
      </c>
      <c r="B70" s="144" t="s">
        <v>41</v>
      </c>
      <c r="C70" s="146" t="s">
        <v>7</v>
      </c>
      <c r="D70" s="146"/>
      <c r="E70" s="146"/>
      <c r="F70" s="146"/>
      <c r="G70" s="146"/>
      <c r="H70" s="148"/>
      <c r="I70" s="149"/>
      <c r="J70" s="139">
        <f t="shared" si="24"/>
        <v>0</v>
      </c>
      <c r="K70" s="6"/>
    </row>
    <row r="71" spans="1:11" s="5" customFormat="1" ht="12" customHeight="1" x14ac:dyDescent="0.25">
      <c r="A71" s="144" t="s">
        <v>574</v>
      </c>
      <c r="B71" s="144" t="s">
        <v>42</v>
      </c>
      <c r="C71" s="146" t="s">
        <v>7</v>
      </c>
      <c r="D71" s="146"/>
      <c r="E71" s="146"/>
      <c r="F71" s="146"/>
      <c r="G71" s="146"/>
      <c r="H71" s="148"/>
      <c r="I71" s="149"/>
      <c r="J71" s="139">
        <f t="shared" si="24"/>
        <v>0</v>
      </c>
      <c r="K71" s="6"/>
    </row>
    <row r="72" spans="1:11" s="5" customFormat="1" ht="12" customHeight="1" x14ac:dyDescent="0.25">
      <c r="A72" s="144" t="s">
        <v>575</v>
      </c>
      <c r="B72" s="144" t="s">
        <v>208</v>
      </c>
      <c r="C72" s="146" t="s">
        <v>8</v>
      </c>
      <c r="D72" s="146"/>
      <c r="E72" s="146"/>
      <c r="F72" s="146"/>
      <c r="G72" s="146"/>
      <c r="H72" s="148"/>
      <c r="I72" s="149"/>
      <c r="J72" s="139">
        <f t="shared" si="24"/>
        <v>0</v>
      </c>
      <c r="K72" s="6"/>
    </row>
    <row r="73" spans="1:11" s="5" customFormat="1" ht="12" customHeight="1" x14ac:dyDescent="0.25">
      <c r="A73" s="144" t="s">
        <v>576</v>
      </c>
      <c r="B73" s="144" t="s">
        <v>525</v>
      </c>
      <c r="C73" s="146" t="s">
        <v>7</v>
      </c>
      <c r="D73" s="146"/>
      <c r="E73" s="146"/>
      <c r="F73" s="146"/>
      <c r="G73" s="146"/>
      <c r="H73" s="148"/>
      <c r="I73" s="149"/>
      <c r="J73" s="139">
        <f t="shared" si="24"/>
        <v>0</v>
      </c>
      <c r="K73" s="6"/>
    </row>
    <row r="74" spans="1:11" s="5" customFormat="1" ht="12" customHeight="1" x14ac:dyDescent="0.25">
      <c r="A74" s="144" t="s">
        <v>577</v>
      </c>
      <c r="B74" s="144" t="s">
        <v>190</v>
      </c>
      <c r="C74" s="146" t="s">
        <v>6</v>
      </c>
      <c r="D74" s="146"/>
      <c r="E74" s="146"/>
      <c r="F74" s="146"/>
      <c r="G74" s="146"/>
      <c r="H74" s="148"/>
      <c r="I74" s="149"/>
      <c r="J74" s="139">
        <f t="shared" si="24"/>
        <v>0</v>
      </c>
      <c r="K74" s="6"/>
    </row>
    <row r="75" spans="1:11" s="5" customFormat="1" ht="12" customHeight="1" x14ac:dyDescent="0.25">
      <c r="A75" s="169"/>
      <c r="B75" s="169"/>
      <c r="C75" s="169"/>
      <c r="D75" s="169"/>
      <c r="E75" s="169"/>
      <c r="F75" s="169"/>
      <c r="G75" s="169"/>
      <c r="H75" s="169"/>
      <c r="I75" s="169"/>
      <c r="J75" s="170"/>
      <c r="K75" s="6"/>
    </row>
    <row r="76" spans="1:11" s="5" customFormat="1" ht="12" customHeight="1" x14ac:dyDescent="0.25">
      <c r="A76" s="144" t="s">
        <v>578</v>
      </c>
      <c r="B76" s="144" t="s">
        <v>526</v>
      </c>
      <c r="C76" s="146" t="s">
        <v>7</v>
      </c>
      <c r="D76" s="146"/>
      <c r="E76" s="146"/>
      <c r="F76" s="146"/>
      <c r="G76" s="146"/>
      <c r="H76" s="148"/>
      <c r="I76" s="149"/>
      <c r="J76" s="139">
        <f>D76*I76</f>
        <v>0</v>
      </c>
      <c r="K76" s="6"/>
    </row>
    <row r="77" spans="1:11" s="5" customFormat="1" ht="12" customHeight="1" x14ac:dyDescent="0.25">
      <c r="A77" s="144" t="s">
        <v>579</v>
      </c>
      <c r="B77" s="144" t="s">
        <v>191</v>
      </c>
      <c r="C77" s="146" t="s">
        <v>7</v>
      </c>
      <c r="D77" s="146"/>
      <c r="E77" s="146"/>
      <c r="F77" s="146"/>
      <c r="G77" s="146"/>
      <c r="H77" s="148"/>
      <c r="I77" s="149"/>
      <c r="J77" s="139">
        <f t="shared" ref="J77:J81" si="25">D77*I77</f>
        <v>0</v>
      </c>
      <c r="K77" s="6"/>
    </row>
    <row r="78" spans="1:11" s="5" customFormat="1" ht="12" customHeight="1" x14ac:dyDescent="0.25">
      <c r="A78" s="144" t="s">
        <v>580</v>
      </c>
      <c r="B78" s="144" t="s">
        <v>192</v>
      </c>
      <c r="C78" s="146" t="s">
        <v>7</v>
      </c>
      <c r="D78" s="146"/>
      <c r="E78" s="146"/>
      <c r="F78" s="146"/>
      <c r="G78" s="146"/>
      <c r="H78" s="148"/>
      <c r="I78" s="149"/>
      <c r="J78" s="139">
        <f t="shared" si="25"/>
        <v>0</v>
      </c>
      <c r="K78" s="6"/>
    </row>
    <row r="79" spans="1:11" s="5" customFormat="1" ht="12" customHeight="1" x14ac:dyDescent="0.25">
      <c r="A79" s="144" t="s">
        <v>581</v>
      </c>
      <c r="B79" s="144" t="s">
        <v>520</v>
      </c>
      <c r="C79" s="146" t="s">
        <v>7</v>
      </c>
      <c r="D79" s="146"/>
      <c r="E79" s="146"/>
      <c r="F79" s="146"/>
      <c r="G79" s="146"/>
      <c r="H79" s="148"/>
      <c r="I79" s="149"/>
      <c r="J79" s="139">
        <f t="shared" si="25"/>
        <v>0</v>
      </c>
      <c r="K79" s="6"/>
    </row>
    <row r="80" spans="1:11" s="5" customFormat="1" ht="12" customHeight="1" x14ac:dyDescent="0.25">
      <c r="A80" s="144" t="s">
        <v>582</v>
      </c>
      <c r="B80" s="144" t="s">
        <v>211</v>
      </c>
      <c r="C80" s="146" t="s">
        <v>7</v>
      </c>
      <c r="D80" s="146"/>
      <c r="E80" s="146"/>
      <c r="F80" s="146"/>
      <c r="G80" s="146"/>
      <c r="H80" s="148"/>
      <c r="I80" s="149"/>
      <c r="J80" s="139">
        <f t="shared" si="25"/>
        <v>0</v>
      </c>
      <c r="K80" s="6"/>
    </row>
    <row r="81" spans="1:11" s="5" customFormat="1" ht="12" customHeight="1" x14ac:dyDescent="0.25">
      <c r="A81" s="144" t="s">
        <v>583</v>
      </c>
      <c r="B81" s="144" t="s">
        <v>527</v>
      </c>
      <c r="C81" s="146" t="s">
        <v>8</v>
      </c>
      <c r="D81" s="146"/>
      <c r="E81" s="146"/>
      <c r="F81" s="146"/>
      <c r="G81" s="146"/>
      <c r="H81" s="148"/>
      <c r="I81" s="149"/>
      <c r="J81" s="139">
        <f t="shared" si="25"/>
        <v>0</v>
      </c>
      <c r="K81" s="6"/>
    </row>
    <row r="82" spans="1:11" s="5" customFormat="1" ht="12" customHeight="1" x14ac:dyDescent="0.25">
      <c r="A82" s="169"/>
      <c r="B82" s="169"/>
      <c r="C82" s="169"/>
      <c r="D82" s="169"/>
      <c r="E82" s="169"/>
      <c r="F82" s="169"/>
      <c r="G82" s="169"/>
      <c r="H82" s="169"/>
      <c r="I82" s="169"/>
      <c r="J82" s="170"/>
      <c r="K82" s="6"/>
    </row>
    <row r="83" spans="1:11" s="5" customFormat="1" ht="12" customHeight="1" x14ac:dyDescent="0.25">
      <c r="A83" s="144" t="s">
        <v>584</v>
      </c>
      <c r="B83" s="144" t="s">
        <v>46</v>
      </c>
      <c r="C83" s="146" t="s">
        <v>8</v>
      </c>
      <c r="D83" s="146"/>
      <c r="E83" s="146"/>
      <c r="F83" s="146"/>
      <c r="G83" s="146"/>
      <c r="H83" s="148"/>
      <c r="I83" s="152"/>
      <c r="J83" s="139">
        <f>D83*I83</f>
        <v>0</v>
      </c>
      <c r="K83" s="6"/>
    </row>
    <row r="84" spans="1:11" s="5" customFormat="1" ht="12" customHeight="1" x14ac:dyDescent="0.25">
      <c r="A84" s="144" t="s">
        <v>585</v>
      </c>
      <c r="B84" s="144" t="s">
        <v>47</v>
      </c>
      <c r="C84" s="146" t="s">
        <v>8</v>
      </c>
      <c r="D84" s="146"/>
      <c r="E84" s="146"/>
      <c r="F84" s="146"/>
      <c r="G84" s="146"/>
      <c r="H84" s="148"/>
      <c r="I84" s="152"/>
      <c r="J84" s="139">
        <f>D84*I84</f>
        <v>0</v>
      </c>
      <c r="K84" s="6"/>
    </row>
    <row r="85" spans="1:11" s="5" customFormat="1" ht="12" customHeight="1" x14ac:dyDescent="0.25">
      <c r="A85" s="169"/>
      <c r="B85" s="169"/>
      <c r="C85" s="169"/>
      <c r="D85" s="169"/>
      <c r="E85" s="169"/>
      <c r="F85" s="169"/>
      <c r="G85" s="169"/>
      <c r="H85" s="169"/>
      <c r="I85" s="169"/>
      <c r="J85" s="170"/>
      <c r="K85" s="6"/>
    </row>
    <row r="86" spans="1:11" s="5" customFormat="1" ht="12" customHeight="1" x14ac:dyDescent="0.25">
      <c r="A86" s="144" t="s">
        <v>586</v>
      </c>
      <c r="B86" s="144" t="s">
        <v>689</v>
      </c>
      <c r="C86" s="146" t="s">
        <v>6</v>
      </c>
      <c r="D86" s="146"/>
      <c r="E86" s="146"/>
      <c r="F86" s="146"/>
      <c r="G86" s="146"/>
      <c r="H86" s="148"/>
      <c r="I86" s="149"/>
      <c r="J86" s="139">
        <f>D86*I86</f>
        <v>0</v>
      </c>
      <c r="K86" s="6"/>
    </row>
    <row r="87" spans="1:11" s="5" customFormat="1" ht="12" customHeight="1" x14ac:dyDescent="0.25">
      <c r="A87" s="144" t="s">
        <v>587</v>
      </c>
      <c r="B87" s="144" t="s">
        <v>51</v>
      </c>
      <c r="C87" s="146" t="s">
        <v>6</v>
      </c>
      <c r="D87" s="146"/>
      <c r="E87" s="146"/>
      <c r="F87" s="146"/>
      <c r="G87" s="146"/>
      <c r="H87" s="148"/>
      <c r="I87" s="149"/>
      <c r="J87" s="139">
        <f t="shared" ref="J87:J97" si="26">D87*I87</f>
        <v>0</v>
      </c>
      <c r="K87" s="6"/>
    </row>
    <row r="88" spans="1:11" s="5" customFormat="1" ht="12" customHeight="1" x14ac:dyDescent="0.25">
      <c r="A88" s="144" t="s">
        <v>588</v>
      </c>
      <c r="B88" s="144" t="s">
        <v>194</v>
      </c>
      <c r="C88" s="146" t="s">
        <v>6</v>
      </c>
      <c r="D88" s="146"/>
      <c r="E88" s="146"/>
      <c r="F88" s="146"/>
      <c r="G88" s="146"/>
      <c r="H88" s="148"/>
      <c r="I88" s="149"/>
      <c r="J88" s="139">
        <f t="shared" si="26"/>
        <v>0</v>
      </c>
      <c r="K88" s="6"/>
    </row>
    <row r="89" spans="1:11" s="5" customFormat="1" ht="12" customHeight="1" x14ac:dyDescent="0.25">
      <c r="A89" s="144" t="s">
        <v>589</v>
      </c>
      <c r="B89" s="144" t="s">
        <v>690</v>
      </c>
      <c r="C89" s="146" t="s">
        <v>8</v>
      </c>
      <c r="D89" s="146"/>
      <c r="E89" s="146"/>
      <c r="F89" s="146"/>
      <c r="G89" s="146"/>
      <c r="H89" s="148"/>
      <c r="I89" s="149"/>
      <c r="J89" s="139">
        <f t="shared" ref="J89" si="27">D89*I89</f>
        <v>0</v>
      </c>
      <c r="K89" s="6"/>
    </row>
    <row r="90" spans="1:11" s="5" customFormat="1" ht="12" customHeight="1" x14ac:dyDescent="0.25">
      <c r="A90" s="144" t="s">
        <v>589</v>
      </c>
      <c r="B90" s="144" t="s">
        <v>195</v>
      </c>
      <c r="C90" s="146" t="s">
        <v>8</v>
      </c>
      <c r="D90" s="146"/>
      <c r="E90" s="146"/>
      <c r="F90" s="146"/>
      <c r="G90" s="146"/>
      <c r="H90" s="148"/>
      <c r="I90" s="149"/>
      <c r="J90" s="139">
        <f t="shared" si="26"/>
        <v>0</v>
      </c>
      <c r="K90" s="6"/>
    </row>
    <row r="91" spans="1:11" s="5" customFormat="1" ht="12" customHeight="1" x14ac:dyDescent="0.25">
      <c r="A91" s="144" t="s">
        <v>590</v>
      </c>
      <c r="B91" s="144" t="s">
        <v>52</v>
      </c>
      <c r="C91" s="146" t="s">
        <v>8</v>
      </c>
      <c r="D91" s="146"/>
      <c r="E91" s="146"/>
      <c r="F91" s="146"/>
      <c r="G91" s="146"/>
      <c r="H91" s="148"/>
      <c r="I91" s="149"/>
      <c r="J91" s="139">
        <f t="shared" si="26"/>
        <v>0</v>
      </c>
      <c r="K91" s="6"/>
    </row>
    <row r="92" spans="1:11" s="5" customFormat="1" ht="12" customHeight="1" x14ac:dyDescent="0.25">
      <c r="A92" s="144" t="s">
        <v>591</v>
      </c>
      <c r="B92" s="144" t="s">
        <v>212</v>
      </c>
      <c r="C92" s="146" t="s">
        <v>8</v>
      </c>
      <c r="D92" s="146"/>
      <c r="E92" s="146"/>
      <c r="F92" s="146"/>
      <c r="G92" s="146"/>
      <c r="H92" s="148"/>
      <c r="I92" s="149"/>
      <c r="J92" s="139">
        <f t="shared" si="26"/>
        <v>0</v>
      </c>
      <c r="K92" s="6"/>
    </row>
    <row r="93" spans="1:11" s="5" customFormat="1" ht="12" customHeight="1" x14ac:dyDescent="0.25">
      <c r="A93" s="144" t="s">
        <v>592</v>
      </c>
      <c r="B93" s="144" t="s">
        <v>213</v>
      </c>
      <c r="C93" s="146" t="s">
        <v>8</v>
      </c>
      <c r="D93" s="146"/>
      <c r="E93" s="146"/>
      <c r="F93" s="146"/>
      <c r="G93" s="146"/>
      <c r="H93" s="148"/>
      <c r="I93" s="149"/>
      <c r="J93" s="139">
        <f t="shared" si="26"/>
        <v>0</v>
      </c>
      <c r="K93" s="6"/>
    </row>
    <row r="94" spans="1:11" s="5" customFormat="1" ht="12" customHeight="1" x14ac:dyDescent="0.25">
      <c r="A94" s="144" t="s">
        <v>593</v>
      </c>
      <c r="B94" s="144" t="s">
        <v>214</v>
      </c>
      <c r="C94" s="146" t="s">
        <v>8</v>
      </c>
      <c r="D94" s="146"/>
      <c r="E94" s="146"/>
      <c r="F94" s="146"/>
      <c r="G94" s="146"/>
      <c r="H94" s="148"/>
      <c r="I94" s="149"/>
      <c r="J94" s="139">
        <f t="shared" si="26"/>
        <v>0</v>
      </c>
      <c r="K94" s="6"/>
    </row>
    <row r="95" spans="1:11" s="5" customFormat="1" ht="12" customHeight="1" x14ac:dyDescent="0.25">
      <c r="A95" s="144" t="s">
        <v>594</v>
      </c>
      <c r="B95" s="144" t="s">
        <v>53</v>
      </c>
      <c r="C95" s="146" t="s">
        <v>6</v>
      </c>
      <c r="D95" s="146"/>
      <c r="E95" s="146"/>
      <c r="F95" s="146"/>
      <c r="G95" s="146"/>
      <c r="H95" s="148"/>
      <c r="I95" s="149"/>
      <c r="J95" s="139">
        <f t="shared" si="26"/>
        <v>0</v>
      </c>
      <c r="K95" s="6"/>
    </row>
    <row r="96" spans="1:11" s="5" customFormat="1" ht="12" customHeight="1" x14ac:dyDescent="0.25">
      <c r="A96" s="144" t="s">
        <v>595</v>
      </c>
      <c r="B96" s="144" t="s">
        <v>442</v>
      </c>
      <c r="C96" s="146" t="s">
        <v>8</v>
      </c>
      <c r="D96" s="146"/>
      <c r="E96" s="146"/>
      <c r="F96" s="146"/>
      <c r="G96" s="146"/>
      <c r="H96" s="148"/>
      <c r="I96" s="149"/>
      <c r="J96" s="139">
        <f t="shared" si="26"/>
        <v>0</v>
      </c>
      <c r="K96" s="6"/>
    </row>
    <row r="97" spans="1:11" s="5" customFormat="1" ht="12" customHeight="1" x14ac:dyDescent="0.25">
      <c r="A97" s="144" t="s">
        <v>596</v>
      </c>
      <c r="B97" s="144" t="s">
        <v>528</v>
      </c>
      <c r="C97" s="146" t="s">
        <v>446</v>
      </c>
      <c r="D97" s="146"/>
      <c r="E97" s="146"/>
      <c r="F97" s="146"/>
      <c r="G97" s="146"/>
      <c r="H97" s="153"/>
      <c r="I97" s="152"/>
      <c r="J97" s="139">
        <f t="shared" si="26"/>
        <v>0</v>
      </c>
      <c r="K97" s="6"/>
    </row>
    <row r="98" spans="1:11" s="5" customFormat="1" ht="12" customHeight="1" x14ac:dyDescent="0.25">
      <c r="A98" s="169"/>
      <c r="B98" s="169"/>
      <c r="C98" s="169"/>
      <c r="D98" s="169"/>
      <c r="E98" s="169"/>
      <c r="F98" s="169"/>
      <c r="G98" s="169"/>
      <c r="H98" s="169"/>
      <c r="I98" s="169"/>
      <c r="J98" s="170"/>
      <c r="K98" s="6"/>
    </row>
    <row r="99" spans="1:11" s="5" customFormat="1" ht="12" customHeight="1" x14ac:dyDescent="0.25">
      <c r="A99" s="144" t="s">
        <v>597</v>
      </c>
      <c r="B99" s="144" t="s">
        <v>691</v>
      </c>
      <c r="C99" s="146" t="s">
        <v>13</v>
      </c>
      <c r="D99" s="146"/>
      <c r="E99" s="146"/>
      <c r="F99" s="146"/>
      <c r="G99" s="146"/>
      <c r="H99" s="154"/>
      <c r="I99" s="141"/>
      <c r="J99" s="139">
        <f>D99*I99</f>
        <v>0</v>
      </c>
      <c r="K99" s="6"/>
    </row>
    <row r="100" spans="1:11" s="5" customFormat="1" ht="12" customHeight="1" x14ac:dyDescent="0.25">
      <c r="A100" s="144" t="s">
        <v>597</v>
      </c>
      <c r="B100" s="144" t="s">
        <v>692</v>
      </c>
      <c r="C100" s="146" t="s">
        <v>13</v>
      </c>
      <c r="D100" s="146"/>
      <c r="E100" s="146"/>
      <c r="F100" s="146"/>
      <c r="G100" s="146"/>
      <c r="H100" s="154"/>
      <c r="I100" s="141"/>
      <c r="J100" s="139">
        <f>D100*I100</f>
        <v>0</v>
      </c>
      <c r="K100" s="6"/>
    </row>
    <row r="101" spans="1:11" s="5" customFormat="1" ht="12" customHeight="1" x14ac:dyDescent="0.25">
      <c r="A101" s="144" t="s">
        <v>598</v>
      </c>
      <c r="B101" s="144" t="s">
        <v>693</v>
      </c>
      <c r="C101" s="146" t="s">
        <v>13</v>
      </c>
      <c r="D101" s="146"/>
      <c r="E101" s="146"/>
      <c r="F101" s="146"/>
      <c r="G101" s="146"/>
      <c r="H101" s="154"/>
      <c r="I101" s="141"/>
      <c r="J101" s="139">
        <f t="shared" ref="J101" si="28">D101*I101</f>
        <v>0</v>
      </c>
      <c r="K101" s="6"/>
    </row>
    <row r="102" spans="1:11" s="5" customFormat="1" ht="12" customHeight="1" x14ac:dyDescent="0.25">
      <c r="A102" s="144" t="s">
        <v>598</v>
      </c>
      <c r="B102" s="144" t="s">
        <v>694</v>
      </c>
      <c r="C102" s="146" t="s">
        <v>13</v>
      </c>
      <c r="D102" s="146"/>
      <c r="E102" s="146"/>
      <c r="F102" s="146"/>
      <c r="G102" s="146"/>
      <c r="H102" s="154"/>
      <c r="I102" s="141"/>
      <c r="J102" s="139">
        <f t="shared" ref="J102:J110" si="29">D102*I102</f>
        <v>0</v>
      </c>
      <c r="K102" s="6"/>
    </row>
    <row r="103" spans="1:11" s="5" customFormat="1" ht="12" customHeight="1" x14ac:dyDescent="0.25">
      <c r="A103" s="144" t="s">
        <v>599</v>
      </c>
      <c r="B103" s="144" t="s">
        <v>695</v>
      </c>
      <c r="C103" s="146" t="s">
        <v>13</v>
      </c>
      <c r="D103" s="146"/>
      <c r="E103" s="146"/>
      <c r="F103" s="146"/>
      <c r="G103" s="146"/>
      <c r="H103" s="154"/>
      <c r="I103" s="141"/>
      <c r="J103" s="139">
        <f t="shared" ref="J103" si="30">D103*I103</f>
        <v>0</v>
      </c>
      <c r="K103" s="6"/>
    </row>
    <row r="104" spans="1:11" s="5" customFormat="1" ht="12" customHeight="1" x14ac:dyDescent="0.25">
      <c r="A104" s="144" t="s">
        <v>599</v>
      </c>
      <c r="B104" s="144" t="s">
        <v>696</v>
      </c>
      <c r="C104" s="146" t="s">
        <v>13</v>
      </c>
      <c r="D104" s="146"/>
      <c r="E104" s="146"/>
      <c r="F104" s="146"/>
      <c r="G104" s="146"/>
      <c r="H104" s="154"/>
      <c r="I104" s="141"/>
      <c r="J104" s="139">
        <f t="shared" si="29"/>
        <v>0</v>
      </c>
      <c r="K104" s="6"/>
    </row>
    <row r="105" spans="1:11" s="5" customFormat="1" ht="12" customHeight="1" x14ac:dyDescent="0.25">
      <c r="A105" s="144" t="s">
        <v>600</v>
      </c>
      <c r="B105" s="144" t="s">
        <v>697</v>
      </c>
      <c r="C105" s="146" t="s">
        <v>13</v>
      </c>
      <c r="D105" s="146"/>
      <c r="E105" s="146"/>
      <c r="F105" s="146"/>
      <c r="G105" s="146"/>
      <c r="H105" s="154"/>
      <c r="I105" s="141"/>
      <c r="J105" s="139">
        <f t="shared" ref="J105" si="31">D105*I105</f>
        <v>0</v>
      </c>
      <c r="K105" s="6"/>
    </row>
    <row r="106" spans="1:11" s="5" customFormat="1" ht="12" customHeight="1" x14ac:dyDescent="0.25">
      <c r="A106" s="144" t="s">
        <v>600</v>
      </c>
      <c r="B106" s="144" t="s">
        <v>700</v>
      </c>
      <c r="C106" s="146" t="s">
        <v>13</v>
      </c>
      <c r="D106" s="146"/>
      <c r="E106" s="146"/>
      <c r="F106" s="146"/>
      <c r="G106" s="146"/>
      <c r="H106" s="154"/>
      <c r="I106" s="141"/>
      <c r="J106" s="139">
        <f t="shared" si="29"/>
        <v>0</v>
      </c>
      <c r="K106" s="6"/>
    </row>
    <row r="107" spans="1:11" s="5" customFormat="1" ht="12" customHeight="1" x14ac:dyDescent="0.25">
      <c r="A107" s="144" t="s">
        <v>601</v>
      </c>
      <c r="B107" s="144" t="s">
        <v>698</v>
      </c>
      <c r="C107" s="146" t="s">
        <v>13</v>
      </c>
      <c r="D107" s="146"/>
      <c r="E107" s="146"/>
      <c r="F107" s="146"/>
      <c r="G107" s="146"/>
      <c r="H107" s="154"/>
      <c r="I107" s="141"/>
      <c r="J107" s="139">
        <f t="shared" ref="J107" si="32">D107*I107</f>
        <v>0</v>
      </c>
      <c r="K107" s="6"/>
    </row>
    <row r="108" spans="1:11" s="5" customFormat="1" ht="12" customHeight="1" x14ac:dyDescent="0.25">
      <c r="A108" s="144" t="s">
        <v>601</v>
      </c>
      <c r="B108" s="144" t="s">
        <v>701</v>
      </c>
      <c r="C108" s="146" t="s">
        <v>13</v>
      </c>
      <c r="D108" s="146"/>
      <c r="E108" s="146"/>
      <c r="F108" s="146"/>
      <c r="G108" s="146"/>
      <c r="H108" s="154"/>
      <c r="I108" s="141"/>
      <c r="J108" s="139">
        <f t="shared" si="29"/>
        <v>0</v>
      </c>
      <c r="K108" s="6"/>
    </row>
    <row r="109" spans="1:11" s="5" customFormat="1" ht="12" customHeight="1" x14ac:dyDescent="0.25">
      <c r="A109" s="144" t="s">
        <v>602</v>
      </c>
      <c r="B109" s="144" t="s">
        <v>699</v>
      </c>
      <c r="C109" s="146" t="s">
        <v>13</v>
      </c>
      <c r="D109" s="146"/>
      <c r="E109" s="146"/>
      <c r="F109" s="146"/>
      <c r="G109" s="146"/>
      <c r="H109" s="154"/>
      <c r="I109" s="141"/>
      <c r="J109" s="139">
        <f t="shared" ref="J109" si="33">D109*I109</f>
        <v>0</v>
      </c>
      <c r="K109" s="6"/>
    </row>
    <row r="110" spans="1:11" s="5" customFormat="1" ht="12" customHeight="1" x14ac:dyDescent="0.25">
      <c r="A110" s="144" t="s">
        <v>602</v>
      </c>
      <c r="B110" s="144" t="s">
        <v>702</v>
      </c>
      <c r="C110" s="146" t="s">
        <v>13</v>
      </c>
      <c r="D110" s="146"/>
      <c r="E110" s="146"/>
      <c r="F110" s="146"/>
      <c r="G110" s="146"/>
      <c r="H110" s="154"/>
      <c r="I110" s="141"/>
      <c r="J110" s="139">
        <f t="shared" si="29"/>
        <v>0</v>
      </c>
      <c r="K110" s="6"/>
    </row>
    <row r="111" spans="1:11" s="5" customFormat="1" ht="12" customHeight="1" x14ac:dyDescent="0.25">
      <c r="A111" s="169"/>
      <c r="B111" s="169"/>
      <c r="C111" s="169"/>
      <c r="D111" s="169"/>
      <c r="E111" s="169"/>
      <c r="F111" s="169"/>
      <c r="G111" s="169"/>
      <c r="H111" s="169"/>
      <c r="I111" s="169"/>
      <c r="J111" s="170"/>
      <c r="K111" s="6"/>
    </row>
    <row r="112" spans="1:11" s="5" customFormat="1" ht="12" customHeight="1" x14ac:dyDescent="0.25">
      <c r="A112" s="144" t="s">
        <v>603</v>
      </c>
      <c r="B112" s="144" t="s">
        <v>197</v>
      </c>
      <c r="C112" s="141" t="s">
        <v>8</v>
      </c>
      <c r="D112" s="141"/>
      <c r="E112" s="141"/>
      <c r="F112" s="141"/>
      <c r="G112" s="141"/>
      <c r="H112" s="148"/>
      <c r="I112" s="149"/>
      <c r="J112" s="139">
        <f>D112*I112</f>
        <v>0</v>
      </c>
      <c r="K112" s="6"/>
    </row>
    <row r="113" spans="1:15" s="5" customFormat="1" ht="12" customHeight="1" x14ac:dyDescent="0.25">
      <c r="A113" s="144" t="s">
        <v>603</v>
      </c>
      <c r="B113" s="144" t="s">
        <v>529</v>
      </c>
      <c r="C113" s="141" t="s">
        <v>8</v>
      </c>
      <c r="D113" s="141"/>
      <c r="E113" s="141"/>
      <c r="F113" s="141"/>
      <c r="G113" s="141"/>
      <c r="H113" s="148"/>
      <c r="I113" s="149"/>
      <c r="J113" s="139">
        <f t="shared" ref="J113:J130" si="34">D113*I113</f>
        <v>0</v>
      </c>
      <c r="K113" s="6"/>
    </row>
    <row r="114" spans="1:15" s="5" customFormat="1" ht="12" customHeight="1" x14ac:dyDescent="0.25">
      <c r="A114" s="144" t="s">
        <v>604</v>
      </c>
      <c r="B114" s="144" t="s">
        <v>530</v>
      </c>
      <c r="C114" s="141" t="s">
        <v>8</v>
      </c>
      <c r="D114" s="141"/>
      <c r="E114" s="141"/>
      <c r="F114" s="141"/>
      <c r="G114" s="141"/>
      <c r="H114" s="148"/>
      <c r="I114" s="149"/>
      <c r="J114" s="139">
        <f t="shared" si="34"/>
        <v>0</v>
      </c>
      <c r="K114" s="6"/>
    </row>
    <row r="115" spans="1:15" s="5" customFormat="1" ht="12" customHeight="1" x14ac:dyDescent="0.25">
      <c r="A115" s="144" t="s">
        <v>604</v>
      </c>
      <c r="B115" s="144" t="s">
        <v>531</v>
      </c>
      <c r="C115" s="141" t="s">
        <v>8</v>
      </c>
      <c r="D115" s="141"/>
      <c r="E115" s="141"/>
      <c r="F115" s="141"/>
      <c r="G115" s="141"/>
      <c r="H115" s="148"/>
      <c r="I115" s="149"/>
      <c r="J115" s="139">
        <f t="shared" si="34"/>
        <v>0</v>
      </c>
      <c r="K115" s="6"/>
    </row>
    <row r="116" spans="1:15" s="5" customFormat="1" ht="12" customHeight="1" x14ac:dyDescent="0.25">
      <c r="A116" s="144" t="s">
        <v>605</v>
      </c>
      <c r="B116" s="144" t="s">
        <v>215</v>
      </c>
      <c r="C116" s="141" t="s">
        <v>8</v>
      </c>
      <c r="D116" s="141"/>
      <c r="E116" s="141"/>
      <c r="F116" s="141"/>
      <c r="G116" s="141"/>
      <c r="H116" s="148"/>
      <c r="I116" s="149"/>
      <c r="J116" s="139">
        <f t="shared" si="34"/>
        <v>0</v>
      </c>
      <c r="K116" s="6"/>
    </row>
    <row r="117" spans="1:15" s="5" customFormat="1" ht="12" customHeight="1" x14ac:dyDescent="0.25">
      <c r="A117" s="144" t="s">
        <v>605</v>
      </c>
      <c r="B117" s="144" t="s">
        <v>216</v>
      </c>
      <c r="C117" s="141" t="s">
        <v>8</v>
      </c>
      <c r="D117" s="141"/>
      <c r="E117" s="141"/>
      <c r="F117" s="141"/>
      <c r="G117" s="141"/>
      <c r="H117" s="153"/>
      <c r="I117" s="149"/>
      <c r="J117" s="139">
        <f t="shared" si="34"/>
        <v>0</v>
      </c>
      <c r="K117" s="6"/>
    </row>
    <row r="118" spans="1:15" s="5" customFormat="1" ht="12" customHeight="1" x14ac:dyDescent="0.25">
      <c r="A118" s="144" t="s">
        <v>606</v>
      </c>
      <c r="B118" s="144" t="s">
        <v>532</v>
      </c>
      <c r="C118" s="141" t="s">
        <v>8</v>
      </c>
      <c r="D118" s="141"/>
      <c r="E118" s="141"/>
      <c r="F118" s="141"/>
      <c r="G118" s="141"/>
      <c r="H118" s="148"/>
      <c r="I118" s="149"/>
      <c r="J118" s="139">
        <f t="shared" si="34"/>
        <v>0</v>
      </c>
      <c r="K118" s="143"/>
      <c r="L118" s="37"/>
      <c r="M118" s="37"/>
      <c r="N118" s="37"/>
      <c r="O118" s="7"/>
    </row>
    <row r="119" spans="1:15" s="5" customFormat="1" ht="12" customHeight="1" x14ac:dyDescent="0.25">
      <c r="A119" s="144" t="s">
        <v>606</v>
      </c>
      <c r="B119" s="144" t="s">
        <v>533</v>
      </c>
      <c r="C119" s="141" t="s">
        <v>8</v>
      </c>
      <c r="D119" s="141"/>
      <c r="E119" s="141"/>
      <c r="F119" s="141"/>
      <c r="G119" s="141"/>
      <c r="H119" s="153"/>
      <c r="I119" s="149"/>
      <c r="J119" s="139">
        <f t="shared" si="34"/>
        <v>0</v>
      </c>
      <c r="K119" s="6"/>
    </row>
    <row r="120" spans="1:15" s="5" customFormat="1" ht="12" customHeight="1" x14ac:dyDescent="0.25">
      <c r="A120" s="144" t="s">
        <v>607</v>
      </c>
      <c r="B120" s="144" t="s">
        <v>643</v>
      </c>
      <c r="C120" s="141" t="s">
        <v>639</v>
      </c>
      <c r="D120" s="141"/>
      <c r="E120" s="141"/>
      <c r="F120" s="141"/>
      <c r="G120" s="141"/>
      <c r="H120" s="153"/>
      <c r="I120" s="149"/>
      <c r="J120" s="139">
        <f t="shared" si="34"/>
        <v>0</v>
      </c>
      <c r="K120" s="6"/>
    </row>
    <row r="121" spans="1:15" s="5" customFormat="1" ht="12" customHeight="1" x14ac:dyDescent="0.25">
      <c r="A121" s="144" t="s">
        <v>608</v>
      </c>
      <c r="B121" s="144" t="s">
        <v>644</v>
      </c>
      <c r="C121" s="141" t="s">
        <v>639</v>
      </c>
      <c r="D121" s="141"/>
      <c r="E121" s="141"/>
      <c r="F121" s="141"/>
      <c r="G121" s="141"/>
      <c r="H121" s="153"/>
      <c r="I121" s="149"/>
      <c r="J121" s="139">
        <f t="shared" si="34"/>
        <v>0</v>
      </c>
      <c r="K121" s="6"/>
    </row>
    <row r="122" spans="1:15" s="5" customFormat="1" ht="12" customHeight="1" x14ac:dyDescent="0.25">
      <c r="A122" s="144" t="s">
        <v>609</v>
      </c>
      <c r="B122" s="144" t="s">
        <v>55</v>
      </c>
      <c r="C122" s="141" t="s">
        <v>7</v>
      </c>
      <c r="D122" s="141"/>
      <c r="E122" s="141"/>
      <c r="F122" s="141"/>
      <c r="G122" s="141"/>
      <c r="H122" s="153"/>
      <c r="I122" s="149"/>
      <c r="J122" s="139">
        <f t="shared" si="34"/>
        <v>0</v>
      </c>
      <c r="K122" s="6"/>
    </row>
    <row r="123" spans="1:15" s="5" customFormat="1" ht="12" customHeight="1" x14ac:dyDescent="0.25">
      <c r="A123" s="144" t="s">
        <v>610</v>
      </c>
      <c r="B123" s="144" t="s">
        <v>56</v>
      </c>
      <c r="C123" s="141" t="s">
        <v>8</v>
      </c>
      <c r="D123" s="141"/>
      <c r="E123" s="141"/>
      <c r="F123" s="141"/>
      <c r="G123" s="141"/>
      <c r="H123" s="153"/>
      <c r="I123" s="137"/>
      <c r="J123" s="139">
        <f t="shared" si="34"/>
        <v>0</v>
      </c>
      <c r="K123" s="6"/>
    </row>
    <row r="124" spans="1:15" s="5" customFormat="1" ht="12" customHeight="1" x14ac:dyDescent="0.25">
      <c r="A124" s="144" t="s">
        <v>611</v>
      </c>
      <c r="B124" s="144" t="s">
        <v>57</v>
      </c>
      <c r="C124" s="141" t="s">
        <v>8</v>
      </c>
      <c r="D124" s="141"/>
      <c r="E124" s="141"/>
      <c r="F124" s="141"/>
      <c r="G124" s="141"/>
      <c r="H124" s="155"/>
      <c r="I124" s="149"/>
      <c r="J124" s="139">
        <f t="shared" si="34"/>
        <v>0</v>
      </c>
      <c r="K124" s="6"/>
    </row>
    <row r="125" spans="1:15" s="5" customFormat="1" ht="12" customHeight="1" x14ac:dyDescent="0.25">
      <c r="A125" s="144" t="s">
        <v>612</v>
      </c>
      <c r="B125" s="144" t="s">
        <v>534</v>
      </c>
      <c r="C125" s="141" t="s">
        <v>13</v>
      </c>
      <c r="D125" s="141"/>
      <c r="E125" s="141"/>
      <c r="F125" s="141"/>
      <c r="G125" s="141"/>
      <c r="H125" s="155"/>
      <c r="I125" s="149"/>
      <c r="J125" s="139">
        <f t="shared" si="34"/>
        <v>0</v>
      </c>
      <c r="K125" s="6"/>
    </row>
    <row r="126" spans="1:15" s="5" customFormat="1" ht="12" customHeight="1" x14ac:dyDescent="0.25">
      <c r="A126" s="144" t="s">
        <v>613</v>
      </c>
      <c r="B126" s="144" t="s">
        <v>535</v>
      </c>
      <c r="C126" s="141" t="s">
        <v>13</v>
      </c>
      <c r="D126" s="141"/>
      <c r="E126" s="141"/>
      <c r="F126" s="141"/>
      <c r="G126" s="141"/>
      <c r="H126" s="155"/>
      <c r="I126" s="149"/>
      <c r="J126" s="139">
        <f t="shared" si="34"/>
        <v>0</v>
      </c>
      <c r="K126" s="6"/>
    </row>
    <row r="127" spans="1:15" s="5" customFormat="1" ht="12" customHeight="1" x14ac:dyDescent="0.25">
      <c r="A127" s="144" t="s">
        <v>614</v>
      </c>
      <c r="B127" s="144" t="s">
        <v>536</v>
      </c>
      <c r="C127" s="141" t="s">
        <v>8</v>
      </c>
      <c r="D127" s="141"/>
      <c r="E127" s="141"/>
      <c r="F127" s="141"/>
      <c r="G127" s="141"/>
      <c r="H127" s="155"/>
      <c r="I127" s="149"/>
      <c r="J127" s="139">
        <f t="shared" si="34"/>
        <v>0</v>
      </c>
      <c r="K127" s="6"/>
    </row>
    <row r="128" spans="1:15" s="5" customFormat="1" ht="12" customHeight="1" x14ac:dyDescent="0.25">
      <c r="A128" s="144" t="s">
        <v>615</v>
      </c>
      <c r="B128" s="144" t="s">
        <v>219</v>
      </c>
      <c r="C128" s="141" t="s">
        <v>6</v>
      </c>
      <c r="D128" s="141"/>
      <c r="E128" s="141"/>
      <c r="F128" s="141"/>
      <c r="G128" s="141"/>
      <c r="H128" s="155"/>
      <c r="I128" s="149"/>
      <c r="J128" s="139">
        <f t="shared" si="34"/>
        <v>0</v>
      </c>
      <c r="K128" s="6"/>
    </row>
    <row r="129" spans="1:11" s="5" customFormat="1" ht="12" customHeight="1" x14ac:dyDescent="0.25">
      <c r="A129" s="144" t="s">
        <v>641</v>
      </c>
      <c r="B129" s="144" t="s">
        <v>468</v>
      </c>
      <c r="C129" s="141" t="s">
        <v>7</v>
      </c>
      <c r="D129" s="141"/>
      <c r="E129" s="141"/>
      <c r="F129" s="141"/>
      <c r="G129" s="141"/>
      <c r="H129" s="155"/>
      <c r="I129" s="149"/>
      <c r="J129" s="139">
        <f t="shared" si="34"/>
        <v>0</v>
      </c>
      <c r="K129" s="6"/>
    </row>
    <row r="130" spans="1:11" s="5" customFormat="1" ht="12" customHeight="1" x14ac:dyDescent="0.25">
      <c r="A130" s="144" t="s">
        <v>642</v>
      </c>
      <c r="B130" s="144" t="s">
        <v>469</v>
      </c>
      <c r="C130" s="141" t="s">
        <v>7</v>
      </c>
      <c r="D130" s="141"/>
      <c r="E130" s="141"/>
      <c r="F130" s="141"/>
      <c r="G130" s="141"/>
      <c r="H130" s="153"/>
      <c r="I130" s="149"/>
      <c r="J130" s="139">
        <f t="shared" si="34"/>
        <v>0</v>
      </c>
      <c r="K130" s="6"/>
    </row>
    <row r="131" spans="1:11" s="5" customFormat="1" ht="12" customHeight="1" x14ac:dyDescent="0.25">
      <c r="A131" s="169"/>
      <c r="B131" s="169"/>
      <c r="C131" s="169"/>
      <c r="D131" s="169"/>
      <c r="E131" s="169"/>
      <c r="F131" s="169"/>
      <c r="G131" s="169"/>
      <c r="H131" s="169"/>
      <c r="I131" s="169"/>
      <c r="J131" s="170"/>
      <c r="K131" s="6"/>
    </row>
    <row r="132" spans="1:11" s="5" customFormat="1" ht="18" x14ac:dyDescent="0.25">
      <c r="A132" s="144"/>
      <c r="B132" s="168" t="s">
        <v>616</v>
      </c>
      <c r="C132" s="141" t="s">
        <v>8</v>
      </c>
      <c r="D132" s="141"/>
      <c r="E132" s="141"/>
      <c r="F132" s="141"/>
      <c r="G132" s="141"/>
      <c r="H132" s="148"/>
      <c r="I132" s="152"/>
      <c r="J132" s="139">
        <f>D132*I132</f>
        <v>0</v>
      </c>
      <c r="K132" s="6"/>
    </row>
    <row r="133" spans="1:11" s="5" customFormat="1" ht="18" x14ac:dyDescent="0.25">
      <c r="A133" s="144"/>
      <c r="B133" s="168" t="s">
        <v>619</v>
      </c>
      <c r="C133" s="141" t="s">
        <v>8</v>
      </c>
      <c r="D133" s="141"/>
      <c r="E133" s="141"/>
      <c r="F133" s="141"/>
      <c r="G133" s="141"/>
      <c r="H133" s="148"/>
      <c r="I133" s="152"/>
      <c r="J133" s="139">
        <f t="shared" ref="J133:J146" si="35">D133*I133</f>
        <v>0</v>
      </c>
      <c r="K133" s="6"/>
    </row>
    <row r="134" spans="1:11" s="5" customFormat="1" ht="11.25" x14ac:dyDescent="0.25">
      <c r="A134" s="144"/>
      <c r="B134" s="168" t="s">
        <v>622</v>
      </c>
      <c r="C134" s="141" t="s">
        <v>8</v>
      </c>
      <c r="D134" s="141"/>
      <c r="E134" s="141"/>
      <c r="F134" s="141"/>
      <c r="G134" s="141"/>
      <c r="H134" s="148"/>
      <c r="I134" s="152"/>
      <c r="J134" s="139">
        <f t="shared" si="35"/>
        <v>0</v>
      </c>
      <c r="K134" s="6"/>
    </row>
    <row r="135" spans="1:11" s="5" customFormat="1" ht="18" x14ac:dyDescent="0.25">
      <c r="A135" s="144"/>
      <c r="B135" s="168" t="s">
        <v>617</v>
      </c>
      <c r="C135" s="141" t="s">
        <v>8</v>
      </c>
      <c r="D135" s="141"/>
      <c r="E135" s="141"/>
      <c r="F135" s="141"/>
      <c r="G135" s="141"/>
      <c r="H135" s="148"/>
      <c r="I135" s="152"/>
      <c r="J135" s="139">
        <f t="shared" si="35"/>
        <v>0</v>
      </c>
      <c r="K135" s="6"/>
    </row>
    <row r="136" spans="1:11" s="5" customFormat="1" ht="18" x14ac:dyDescent="0.25">
      <c r="A136" s="144"/>
      <c r="B136" s="168" t="s">
        <v>620</v>
      </c>
      <c r="C136" s="141" t="s">
        <v>8</v>
      </c>
      <c r="D136" s="141"/>
      <c r="E136" s="141"/>
      <c r="F136" s="141"/>
      <c r="G136" s="141"/>
      <c r="H136" s="148"/>
      <c r="I136" s="152"/>
      <c r="J136" s="139">
        <f t="shared" si="35"/>
        <v>0</v>
      </c>
      <c r="K136" s="6"/>
    </row>
    <row r="137" spans="1:11" s="5" customFormat="1" ht="18" x14ac:dyDescent="0.25">
      <c r="A137" s="144"/>
      <c r="B137" s="168" t="s">
        <v>623</v>
      </c>
      <c r="C137" s="141" t="s">
        <v>8</v>
      </c>
      <c r="D137" s="141"/>
      <c r="E137" s="141"/>
      <c r="F137" s="141"/>
      <c r="G137" s="141"/>
      <c r="H137" s="148"/>
      <c r="I137" s="152"/>
      <c r="J137" s="139">
        <f t="shared" si="35"/>
        <v>0</v>
      </c>
      <c r="K137" s="6"/>
    </row>
    <row r="138" spans="1:11" s="5" customFormat="1" ht="18" x14ac:dyDescent="0.25">
      <c r="A138" s="144"/>
      <c r="B138" s="168" t="s">
        <v>618</v>
      </c>
      <c r="C138" s="141" t="s">
        <v>8</v>
      </c>
      <c r="D138" s="141"/>
      <c r="E138" s="141"/>
      <c r="F138" s="141"/>
      <c r="G138" s="141"/>
      <c r="H138" s="148"/>
      <c r="I138" s="152"/>
      <c r="J138" s="139">
        <f t="shared" si="35"/>
        <v>0</v>
      </c>
      <c r="K138" s="6"/>
    </row>
    <row r="139" spans="1:11" s="5" customFormat="1" ht="18" x14ac:dyDescent="0.25">
      <c r="A139" s="144"/>
      <c r="B139" s="168" t="s">
        <v>621</v>
      </c>
      <c r="C139" s="141" t="s">
        <v>8</v>
      </c>
      <c r="D139" s="141"/>
      <c r="E139" s="141"/>
      <c r="F139" s="141"/>
      <c r="G139" s="141"/>
      <c r="H139" s="148"/>
      <c r="I139" s="152"/>
      <c r="J139" s="139">
        <f t="shared" si="35"/>
        <v>0</v>
      </c>
      <c r="K139" s="6"/>
    </row>
    <row r="140" spans="1:11" s="5" customFormat="1" ht="18" x14ac:dyDescent="0.25">
      <c r="A140" s="144"/>
      <c r="B140" s="168" t="s">
        <v>624</v>
      </c>
      <c r="C140" s="141" t="s">
        <v>8</v>
      </c>
      <c r="D140" s="141"/>
      <c r="E140" s="141"/>
      <c r="F140" s="141"/>
      <c r="G140" s="141"/>
      <c r="H140" s="148"/>
      <c r="I140" s="152"/>
      <c r="J140" s="139">
        <f t="shared" si="35"/>
        <v>0</v>
      </c>
      <c r="K140" s="6"/>
    </row>
    <row r="141" spans="1:11" s="5" customFormat="1" ht="18" x14ac:dyDescent="0.25">
      <c r="A141" s="144"/>
      <c r="B141" s="168" t="s">
        <v>628</v>
      </c>
      <c r="C141" s="141" t="s">
        <v>8</v>
      </c>
      <c r="D141" s="141"/>
      <c r="E141" s="141"/>
      <c r="F141" s="141"/>
      <c r="G141" s="141"/>
      <c r="H141" s="148"/>
      <c r="I141" s="152"/>
      <c r="J141" s="139">
        <f t="shared" si="35"/>
        <v>0</v>
      </c>
      <c r="K141" s="6"/>
    </row>
    <row r="142" spans="1:11" s="5" customFormat="1" ht="18" x14ac:dyDescent="0.25">
      <c r="A142" s="144"/>
      <c r="B142" s="168" t="s">
        <v>629</v>
      </c>
      <c r="C142" s="141" t="s">
        <v>8</v>
      </c>
      <c r="D142" s="141"/>
      <c r="E142" s="141"/>
      <c r="F142" s="141"/>
      <c r="G142" s="141"/>
      <c r="H142" s="148"/>
      <c r="I142" s="152"/>
      <c r="J142" s="139">
        <f t="shared" si="35"/>
        <v>0</v>
      </c>
      <c r="K142" s="6"/>
    </row>
    <row r="143" spans="1:11" s="5" customFormat="1" ht="18" x14ac:dyDescent="0.25">
      <c r="A143" s="144"/>
      <c r="B143" s="168" t="s">
        <v>630</v>
      </c>
      <c r="C143" s="141" t="s">
        <v>8</v>
      </c>
      <c r="D143" s="141"/>
      <c r="E143" s="141"/>
      <c r="F143" s="141"/>
      <c r="G143" s="141"/>
      <c r="H143" s="148"/>
      <c r="I143" s="152"/>
      <c r="J143" s="139">
        <f t="shared" si="35"/>
        <v>0</v>
      </c>
      <c r="K143" s="6"/>
    </row>
    <row r="144" spans="1:11" s="5" customFormat="1" ht="18" x14ac:dyDescent="0.25">
      <c r="A144" s="144"/>
      <c r="B144" s="168" t="s">
        <v>625</v>
      </c>
      <c r="C144" s="141" t="s">
        <v>8</v>
      </c>
      <c r="D144" s="141"/>
      <c r="E144" s="141"/>
      <c r="F144" s="141"/>
      <c r="G144" s="141"/>
      <c r="H144" s="148"/>
      <c r="I144" s="152"/>
      <c r="J144" s="139">
        <f t="shared" si="35"/>
        <v>0</v>
      </c>
      <c r="K144" s="6"/>
    </row>
    <row r="145" spans="1:11" s="5" customFormat="1" ht="18" x14ac:dyDescent="0.25">
      <c r="A145" s="144"/>
      <c r="B145" s="168" t="s">
        <v>626</v>
      </c>
      <c r="C145" s="141" t="s">
        <v>8</v>
      </c>
      <c r="D145" s="141"/>
      <c r="E145" s="141"/>
      <c r="F145" s="141"/>
      <c r="G145" s="141"/>
      <c r="H145" s="148"/>
      <c r="I145" s="152"/>
      <c r="J145" s="139">
        <f t="shared" si="35"/>
        <v>0</v>
      </c>
      <c r="K145" s="6"/>
    </row>
    <row r="146" spans="1:11" s="5" customFormat="1" ht="18" x14ac:dyDescent="0.25">
      <c r="A146" s="144"/>
      <c r="B146" s="168" t="s">
        <v>627</v>
      </c>
      <c r="C146" s="141" t="s">
        <v>8</v>
      </c>
      <c r="D146" s="141"/>
      <c r="E146" s="141"/>
      <c r="F146" s="141"/>
      <c r="G146" s="141"/>
      <c r="H146" s="148"/>
      <c r="I146" s="152"/>
      <c r="J146" s="139">
        <f t="shared" si="35"/>
        <v>0</v>
      </c>
      <c r="K146" s="6"/>
    </row>
    <row r="147" spans="1:11" s="5" customFormat="1" ht="12" customHeight="1" x14ac:dyDescent="0.25">
      <c r="A147" s="156"/>
      <c r="B147" s="156"/>
      <c r="C147" s="180" t="str">
        <f>'Paving Summary'!D138</f>
        <v>SUBTOTAL</v>
      </c>
      <c r="D147" s="181"/>
      <c r="E147" s="181"/>
      <c r="F147" s="181"/>
      <c r="G147" s="181"/>
      <c r="H147" s="181"/>
      <c r="I147" s="182"/>
      <c r="J147" s="157">
        <f>SUM(J6:J146)</f>
        <v>0</v>
      </c>
      <c r="K147" s="6"/>
    </row>
    <row r="148" spans="1:11" s="5" customFormat="1" ht="12" customHeight="1" x14ac:dyDescent="0.25">
      <c r="A148" s="160"/>
      <c r="B148" s="136" t="s">
        <v>637</v>
      </c>
      <c r="C148" s="137" t="s">
        <v>8</v>
      </c>
      <c r="D148" s="137"/>
      <c r="E148" s="137"/>
      <c r="F148" s="137"/>
      <c r="G148" s="137"/>
      <c r="H148" s="158"/>
      <c r="I148" s="159"/>
      <c r="J148" s="139">
        <f>D148*I148</f>
        <v>0</v>
      </c>
      <c r="K148" s="6"/>
    </row>
    <row r="149" spans="1:11" s="5" customFormat="1" ht="12" customHeight="1" x14ac:dyDescent="0.25">
      <c r="A149" s="160"/>
      <c r="B149" s="136" t="s">
        <v>638</v>
      </c>
      <c r="C149" s="137" t="s">
        <v>639</v>
      </c>
      <c r="D149" s="137"/>
      <c r="E149" s="137"/>
      <c r="F149" s="137"/>
      <c r="G149" s="137"/>
      <c r="H149" s="158"/>
      <c r="I149" s="159"/>
      <c r="J149" s="139">
        <f t="shared" ref="J149:J150" si="36">D149*I149</f>
        <v>0</v>
      </c>
      <c r="K149" s="6"/>
    </row>
    <row r="150" spans="1:11" s="5" customFormat="1" ht="12" customHeight="1" x14ac:dyDescent="0.25">
      <c r="A150" s="160"/>
      <c r="B150" s="136" t="s">
        <v>640</v>
      </c>
      <c r="C150" s="137" t="s">
        <v>645</v>
      </c>
      <c r="D150" s="137"/>
      <c r="E150" s="137"/>
      <c r="F150" s="137"/>
      <c r="G150" s="137"/>
      <c r="H150" s="158"/>
      <c r="I150" s="159"/>
      <c r="J150" s="139">
        <f t="shared" si="36"/>
        <v>0</v>
      </c>
      <c r="K150" s="6"/>
    </row>
    <row r="151" spans="1:11" s="5" customFormat="1" ht="12" customHeight="1" x14ac:dyDescent="0.25">
      <c r="A151" s="169"/>
      <c r="B151" s="169"/>
      <c r="C151" s="169"/>
      <c r="D151" s="169"/>
      <c r="E151" s="169"/>
      <c r="F151" s="169"/>
      <c r="G151" s="169"/>
      <c r="H151" s="169"/>
      <c r="I151" s="169"/>
      <c r="J151" s="170"/>
      <c r="K151" s="6"/>
    </row>
    <row r="152" spans="1:11" s="5" customFormat="1" ht="12" customHeight="1" x14ac:dyDescent="0.25">
      <c r="A152" s="160"/>
      <c r="B152" s="136" t="s">
        <v>646</v>
      </c>
      <c r="C152" s="137"/>
      <c r="D152" s="137"/>
      <c r="E152" s="137"/>
      <c r="F152" s="137"/>
      <c r="G152" s="137"/>
      <c r="H152" s="148"/>
      <c r="I152" s="152"/>
      <c r="J152" s="139"/>
      <c r="K152" s="6"/>
    </row>
    <row r="153" spans="1:11" s="5" customFormat="1" ht="12" customHeight="1" x14ac:dyDescent="0.25">
      <c r="A153" s="160"/>
      <c r="B153" s="136" t="s">
        <v>647</v>
      </c>
      <c r="C153" s="137"/>
      <c r="D153" s="137"/>
      <c r="E153" s="137"/>
      <c r="F153" s="137"/>
      <c r="G153" s="137"/>
      <c r="H153" s="148"/>
      <c r="I153" s="152"/>
      <c r="J153" s="139"/>
      <c r="K153" s="6"/>
    </row>
    <row r="154" spans="1:11" s="5" customFormat="1" ht="12" customHeight="1" x14ac:dyDescent="0.25">
      <c r="A154" s="160"/>
      <c r="B154" s="136" t="s">
        <v>648</v>
      </c>
      <c r="C154" s="161"/>
      <c r="D154" s="161"/>
      <c r="E154" s="161"/>
      <c r="F154" s="161"/>
      <c r="G154" s="161"/>
      <c r="H154" s="162"/>
      <c r="I154" s="163"/>
      <c r="J154" s="164"/>
      <c r="K154" s="6"/>
    </row>
    <row r="155" spans="1:11" s="5" customFormat="1" ht="12" customHeight="1" x14ac:dyDescent="0.25">
      <c r="A155" s="166"/>
      <c r="B155" s="166"/>
      <c r="C155" s="179" t="s">
        <v>226</v>
      </c>
      <c r="D155" s="179"/>
      <c r="E155" s="179"/>
      <c r="F155" s="179"/>
      <c r="G155" s="179"/>
      <c r="H155" s="179"/>
      <c r="I155" s="179"/>
      <c r="J155" s="165">
        <f>SUM(J147:J154)</f>
        <v>0</v>
      </c>
      <c r="K155" s="6"/>
    </row>
    <row r="156" spans="1:11" s="5" customFormat="1" ht="12" customHeight="1" x14ac:dyDescent="0.25">
      <c r="K156" s="6"/>
    </row>
    <row r="157" spans="1:11" s="5" customFormat="1" ht="12" customHeight="1" x14ac:dyDescent="0.25">
      <c r="C157" s="7"/>
      <c r="D157" s="7"/>
      <c r="E157" s="7"/>
      <c r="F157" s="7"/>
      <c r="G157" s="7"/>
      <c r="K157" s="6"/>
    </row>
    <row r="158" spans="1:11" s="5" customFormat="1" ht="12" customHeight="1" x14ac:dyDescent="0.25">
      <c r="K158" s="6"/>
    </row>
    <row r="159" spans="1:11" s="5" customFormat="1" ht="12" customHeight="1" x14ac:dyDescent="0.25">
      <c r="K159" s="6"/>
    </row>
    <row r="160" spans="1:11" s="5" customFormat="1" ht="12" customHeight="1" x14ac:dyDescent="0.25">
      <c r="K160" s="6"/>
    </row>
    <row r="161" spans="1:11" s="5" customFormat="1" ht="12" customHeight="1" x14ac:dyDescent="0.25">
      <c r="K161" s="6"/>
    </row>
    <row r="162" spans="1:11" s="5" customFormat="1" ht="13.7" customHeight="1" x14ac:dyDescent="0.25">
      <c r="K162" s="6"/>
    </row>
    <row r="163" spans="1:11" s="5" customFormat="1" ht="13.7" customHeight="1" x14ac:dyDescent="0.25">
      <c r="K163" s="6"/>
    </row>
    <row r="164" spans="1:11" s="5" customFormat="1" ht="13.7" customHeight="1" x14ac:dyDescent="0.25">
      <c r="K164" s="6"/>
    </row>
    <row r="165" spans="1:11" s="5" customFormat="1" ht="12.75" customHeight="1" x14ac:dyDescent="0.25">
      <c r="K165" s="6"/>
    </row>
    <row r="166" spans="1:1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x14ac:dyDescent="0.25">
      <c r="A185" s="6"/>
      <c r="B185" s="6"/>
      <c r="C185" s="5"/>
      <c r="D185" s="5"/>
      <c r="E185" s="5"/>
      <c r="F185" s="5"/>
      <c r="G185" s="5"/>
      <c r="H185" s="7"/>
      <c r="I185" s="10"/>
      <c r="J185" s="7"/>
    </row>
    <row r="186" spans="1:10" x14ac:dyDescent="0.25">
      <c r="A186" s="6"/>
      <c r="B186" s="6"/>
      <c r="C186" s="5"/>
      <c r="D186" s="5"/>
      <c r="E186" s="5"/>
      <c r="F186" s="5"/>
      <c r="G186" s="5"/>
      <c r="H186" s="7"/>
      <c r="I186" s="10"/>
      <c r="J186" s="7"/>
    </row>
    <row r="187" spans="1:10" x14ac:dyDescent="0.25">
      <c r="A187" s="6"/>
      <c r="B187" s="6"/>
      <c r="C187" s="5"/>
      <c r="D187" s="5"/>
      <c r="E187" s="5"/>
      <c r="F187" s="5"/>
      <c r="G187" s="5"/>
      <c r="H187" s="7"/>
      <c r="I187" s="10"/>
      <c r="J187" s="7"/>
    </row>
    <row r="188" spans="1:10" x14ac:dyDescent="0.25">
      <c r="A188" s="6"/>
      <c r="B188" s="4"/>
      <c r="C188" s="3"/>
      <c r="D188" s="3"/>
      <c r="E188" s="3"/>
      <c r="F188" s="3"/>
      <c r="G188" s="3"/>
      <c r="H188" s="8"/>
      <c r="I188" s="11"/>
      <c r="J188" s="8"/>
    </row>
    <row r="189" spans="1:10" x14ac:dyDescent="0.25">
      <c r="A189" s="6"/>
      <c r="B189" s="4"/>
      <c r="C189" s="3"/>
      <c r="D189" s="3"/>
      <c r="E189" s="3"/>
      <c r="F189" s="3"/>
      <c r="G189" s="3"/>
      <c r="H189" s="8"/>
      <c r="I189" s="11"/>
      <c r="J189" s="8"/>
    </row>
    <row r="190" spans="1:10" x14ac:dyDescent="0.25">
      <c r="A190" s="4"/>
    </row>
    <row r="191" spans="1:10" x14ac:dyDescent="0.25">
      <c r="A191" s="4"/>
    </row>
  </sheetData>
  <mergeCells count="15">
    <mergeCell ref="A131:J131"/>
    <mergeCell ref="A151:J151"/>
    <mergeCell ref="C155:I155"/>
    <mergeCell ref="A75:J75"/>
    <mergeCell ref="A82:J82"/>
    <mergeCell ref="A85:J85"/>
    <mergeCell ref="A98:J98"/>
    <mergeCell ref="A111:J111"/>
    <mergeCell ref="C147:I147"/>
    <mergeCell ref="A67:J67"/>
    <mergeCell ref="A1:J1"/>
    <mergeCell ref="A2:J2"/>
    <mergeCell ref="A3:J3"/>
    <mergeCell ref="A5:J5"/>
    <mergeCell ref="A57:J57"/>
  </mergeCells>
  <phoneticPr fontId="22" type="noConversion"/>
  <printOptions horizontalCentered="1"/>
  <pageMargins left="0.1" right="0.1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002060"/>
  </sheetPr>
  <dimension ref="A1:H173"/>
  <sheetViews>
    <sheetView zoomScaleNormal="100" workbookViewId="0">
      <selection activeCell="B142" sqref="B142"/>
    </sheetView>
  </sheetViews>
  <sheetFormatPr defaultColWidth="9.140625" defaultRowHeight="15.75" x14ac:dyDescent="0.25"/>
  <cols>
    <col min="1" max="1" width="9.140625" style="24"/>
    <col min="2" max="2" width="48.42578125" style="2" bestFit="1" customWidth="1"/>
    <col min="3" max="3" width="8.7109375" style="1" customWidth="1"/>
    <col min="4" max="5" width="13.7109375" style="28" customWidth="1"/>
    <col min="6" max="7" width="13.7109375" style="1" bestFit="1" customWidth="1"/>
    <col min="8" max="8" width="13.7109375" style="1" customWidth="1"/>
    <col min="9" max="16384" width="9.140625" style="1"/>
  </cols>
  <sheetData>
    <row r="1" spans="1:8" ht="16.5" thickBot="1" x14ac:dyDescent="0.3"/>
    <row r="2" spans="1:8" ht="16.5" thickBot="1" x14ac:dyDescent="0.3">
      <c r="D2" s="25" t="s">
        <v>430</v>
      </c>
      <c r="E2" s="25"/>
      <c r="F2" s="25"/>
      <c r="G2" s="25"/>
      <c r="H2" s="25"/>
    </row>
    <row r="3" spans="1:8" ht="16.5" hidden="1" thickBot="1" x14ac:dyDescent="0.3">
      <c r="D3" s="23">
        <v>0</v>
      </c>
      <c r="E3" s="23">
        <v>1</v>
      </c>
      <c r="F3" s="23">
        <v>2</v>
      </c>
      <c r="G3" s="23">
        <v>3</v>
      </c>
      <c r="H3" s="23">
        <v>4</v>
      </c>
    </row>
    <row r="4" spans="1:8" ht="16.5" thickBot="1" x14ac:dyDescent="0.3">
      <c r="A4" s="1" t="s">
        <v>0</v>
      </c>
      <c r="B4" s="1" t="s">
        <v>10</v>
      </c>
      <c r="D4" s="29" t="s">
        <v>344</v>
      </c>
      <c r="E4" s="29" t="s">
        <v>345</v>
      </c>
      <c r="F4" s="29" t="s">
        <v>346</v>
      </c>
      <c r="G4" s="29" t="s">
        <v>347</v>
      </c>
      <c r="H4" s="29" t="s">
        <v>348</v>
      </c>
    </row>
    <row r="5" spans="1:8" ht="16.5" thickBot="1" x14ac:dyDescent="0.2">
      <c r="A5" s="75"/>
      <c r="B5" s="79" t="s">
        <v>177</v>
      </c>
      <c r="C5" s="26" t="s">
        <v>156</v>
      </c>
      <c r="D5" s="41"/>
      <c r="E5" s="30"/>
      <c r="F5" s="22"/>
      <c r="G5" s="22"/>
      <c r="H5" s="22"/>
    </row>
    <row r="6" spans="1:8" ht="16.5" thickBot="1" x14ac:dyDescent="0.2">
      <c r="A6" s="76" t="s">
        <v>61</v>
      </c>
      <c r="B6" s="80" t="s">
        <v>164</v>
      </c>
      <c r="C6" s="84" t="s">
        <v>13</v>
      </c>
      <c r="D6" s="42">
        <f>ROUND(42.25*1.025,2)</f>
        <v>43.31</v>
      </c>
      <c r="E6" s="43">
        <f>ROUND(D6*1.025,2)</f>
        <v>44.39</v>
      </c>
      <c r="F6" s="44">
        <f>ROUND(E6*1.025,2)</f>
        <v>45.5</v>
      </c>
      <c r="G6" s="44">
        <f>ROUND(F6*1.025,2)</f>
        <v>46.64</v>
      </c>
      <c r="H6" s="44">
        <f>ROUND(G6*1.025,2)</f>
        <v>47.81</v>
      </c>
    </row>
    <row r="7" spans="1:8" ht="16.5" thickBot="1" x14ac:dyDescent="0.2">
      <c r="A7" s="76" t="s">
        <v>62</v>
      </c>
      <c r="B7" s="80" t="s">
        <v>165</v>
      </c>
      <c r="C7" s="84" t="s">
        <v>13</v>
      </c>
      <c r="D7" s="42">
        <f>ROUND(27.1*1.025,2)</f>
        <v>27.78</v>
      </c>
      <c r="E7" s="43">
        <f t="shared" ref="E7:H72" si="0">ROUND(D7*1.025,2)</f>
        <v>28.47</v>
      </c>
      <c r="F7" s="44">
        <f t="shared" si="0"/>
        <v>29.18</v>
      </c>
      <c r="G7" s="44">
        <f t="shared" si="0"/>
        <v>29.91</v>
      </c>
      <c r="H7" s="44">
        <f t="shared" si="0"/>
        <v>30.66</v>
      </c>
    </row>
    <row r="8" spans="1:8" ht="16.5" thickBot="1" x14ac:dyDescent="0.2">
      <c r="A8" s="76" t="s">
        <v>63</v>
      </c>
      <c r="B8" s="80" t="s">
        <v>163</v>
      </c>
      <c r="C8" s="84" t="s">
        <v>13</v>
      </c>
      <c r="D8" s="42">
        <f>ROUND(49.9*1.025,2)</f>
        <v>51.15</v>
      </c>
      <c r="E8" s="43">
        <f t="shared" si="0"/>
        <v>52.43</v>
      </c>
      <c r="F8" s="44">
        <f t="shared" si="0"/>
        <v>53.74</v>
      </c>
      <c r="G8" s="44">
        <f t="shared" si="0"/>
        <v>55.08</v>
      </c>
      <c r="H8" s="44">
        <f t="shared" si="0"/>
        <v>56.46</v>
      </c>
    </row>
    <row r="9" spans="1:8" ht="16.5" thickBot="1" x14ac:dyDescent="0.2">
      <c r="A9" s="76" t="s">
        <v>64</v>
      </c>
      <c r="B9" s="80" t="s">
        <v>166</v>
      </c>
      <c r="C9" s="84" t="s">
        <v>13</v>
      </c>
      <c r="D9" s="42">
        <f>ROUND(37*1.025,2)</f>
        <v>37.93</v>
      </c>
      <c r="E9" s="43">
        <f t="shared" si="0"/>
        <v>38.880000000000003</v>
      </c>
      <c r="F9" s="44">
        <f t="shared" si="0"/>
        <v>39.85</v>
      </c>
      <c r="G9" s="44">
        <f t="shared" si="0"/>
        <v>40.85</v>
      </c>
      <c r="H9" s="44">
        <f t="shared" si="0"/>
        <v>41.87</v>
      </c>
    </row>
    <row r="10" spans="1:8" ht="16.5" thickBot="1" x14ac:dyDescent="0.2">
      <c r="A10" s="76" t="s">
        <v>65</v>
      </c>
      <c r="B10" s="80" t="s">
        <v>167</v>
      </c>
      <c r="C10" s="84" t="s">
        <v>13</v>
      </c>
      <c r="D10" s="42">
        <f>ROUND(52.8*1.025,2)</f>
        <v>54.12</v>
      </c>
      <c r="E10" s="43">
        <f t="shared" si="0"/>
        <v>55.47</v>
      </c>
      <c r="F10" s="44">
        <f t="shared" si="0"/>
        <v>56.86</v>
      </c>
      <c r="G10" s="44">
        <f t="shared" si="0"/>
        <v>58.28</v>
      </c>
      <c r="H10" s="44">
        <f t="shared" si="0"/>
        <v>59.74</v>
      </c>
    </row>
    <row r="11" spans="1:8" ht="16.5" thickBot="1" x14ac:dyDescent="0.2">
      <c r="A11" s="76" t="s">
        <v>66</v>
      </c>
      <c r="B11" s="80" t="s">
        <v>168</v>
      </c>
      <c r="C11" s="84" t="s">
        <v>13</v>
      </c>
      <c r="D11" s="42">
        <f>ROUND(46.2*1.025,2)</f>
        <v>47.36</v>
      </c>
      <c r="E11" s="43">
        <f t="shared" si="0"/>
        <v>48.54</v>
      </c>
      <c r="F11" s="44">
        <f t="shared" si="0"/>
        <v>49.75</v>
      </c>
      <c r="G11" s="44">
        <f t="shared" si="0"/>
        <v>50.99</v>
      </c>
      <c r="H11" s="44">
        <f t="shared" si="0"/>
        <v>52.26</v>
      </c>
    </row>
    <row r="12" spans="1:8" ht="16.5" thickBot="1" x14ac:dyDescent="0.2">
      <c r="A12" s="76" t="s">
        <v>67</v>
      </c>
      <c r="B12" s="80" t="s">
        <v>169</v>
      </c>
      <c r="C12" s="84" t="s">
        <v>13</v>
      </c>
      <c r="D12" s="42">
        <f>ROUND(62.9*1.025,2)</f>
        <v>64.47</v>
      </c>
      <c r="E12" s="43">
        <f t="shared" si="0"/>
        <v>66.08</v>
      </c>
      <c r="F12" s="44">
        <f t="shared" si="0"/>
        <v>67.73</v>
      </c>
      <c r="G12" s="44">
        <f t="shared" si="0"/>
        <v>69.42</v>
      </c>
      <c r="H12" s="44">
        <f t="shared" si="0"/>
        <v>71.16</v>
      </c>
    </row>
    <row r="13" spans="1:8" ht="16.5" thickBot="1" x14ac:dyDescent="0.2">
      <c r="A13" s="76" t="s">
        <v>68</v>
      </c>
      <c r="B13" s="80" t="s">
        <v>14</v>
      </c>
      <c r="C13" s="84" t="s">
        <v>6</v>
      </c>
      <c r="D13" s="42">
        <f>ROUND(90*1.025,2)</f>
        <v>92.25</v>
      </c>
      <c r="E13" s="43">
        <f t="shared" si="0"/>
        <v>94.56</v>
      </c>
      <c r="F13" s="44">
        <f t="shared" si="0"/>
        <v>96.92</v>
      </c>
      <c r="G13" s="44">
        <f t="shared" si="0"/>
        <v>99.34</v>
      </c>
      <c r="H13" s="44">
        <f t="shared" si="0"/>
        <v>101.82</v>
      </c>
    </row>
    <row r="14" spans="1:8" ht="16.5" thickBot="1" x14ac:dyDescent="0.2">
      <c r="A14" s="76" t="s">
        <v>69</v>
      </c>
      <c r="B14" s="80" t="s">
        <v>15</v>
      </c>
      <c r="C14" s="84" t="s">
        <v>6</v>
      </c>
      <c r="D14" s="42">
        <f>ROUND(40*1.025,2)</f>
        <v>41</v>
      </c>
      <c r="E14" s="43">
        <f t="shared" si="0"/>
        <v>42.03</v>
      </c>
      <c r="F14" s="44">
        <f t="shared" si="0"/>
        <v>43.08</v>
      </c>
      <c r="G14" s="44">
        <f t="shared" si="0"/>
        <v>44.16</v>
      </c>
      <c r="H14" s="44">
        <f t="shared" si="0"/>
        <v>45.26</v>
      </c>
    </row>
    <row r="15" spans="1:8" ht="16.5" thickBot="1" x14ac:dyDescent="0.2">
      <c r="A15" s="76" t="s">
        <v>70</v>
      </c>
      <c r="B15" s="80" t="s">
        <v>170</v>
      </c>
      <c r="C15" s="84" t="s">
        <v>13</v>
      </c>
      <c r="D15" s="42">
        <f>ROUND(25.85*1.025,2)</f>
        <v>26.5</v>
      </c>
      <c r="E15" s="43">
        <f t="shared" si="0"/>
        <v>27.16</v>
      </c>
      <c r="F15" s="44">
        <f t="shared" si="0"/>
        <v>27.84</v>
      </c>
      <c r="G15" s="44">
        <f t="shared" si="0"/>
        <v>28.54</v>
      </c>
      <c r="H15" s="44">
        <f t="shared" si="0"/>
        <v>29.25</v>
      </c>
    </row>
    <row r="16" spans="1:8" ht="16.5" thickBot="1" x14ac:dyDescent="0.2">
      <c r="A16" s="76" t="s">
        <v>71</v>
      </c>
      <c r="B16" s="80" t="s">
        <v>199</v>
      </c>
      <c r="C16" s="84" t="s">
        <v>13</v>
      </c>
      <c r="D16" s="42">
        <f>ROUND(31.6*1.025,2)</f>
        <v>32.39</v>
      </c>
      <c r="E16" s="43">
        <f t="shared" si="0"/>
        <v>33.200000000000003</v>
      </c>
      <c r="F16" s="44">
        <f t="shared" si="0"/>
        <v>34.03</v>
      </c>
      <c r="G16" s="44">
        <f t="shared" si="0"/>
        <v>34.880000000000003</v>
      </c>
      <c r="H16" s="44">
        <f t="shared" si="0"/>
        <v>35.75</v>
      </c>
    </row>
    <row r="17" spans="1:8" ht="16.5" thickBot="1" x14ac:dyDescent="0.2">
      <c r="A17" s="76" t="s">
        <v>72</v>
      </c>
      <c r="B17" s="80" t="s">
        <v>200</v>
      </c>
      <c r="C17" s="84" t="s">
        <v>13</v>
      </c>
      <c r="D17" s="42">
        <f>ROUND(8.8*1.025,2)</f>
        <v>9.02</v>
      </c>
      <c r="E17" s="43">
        <f t="shared" si="0"/>
        <v>9.25</v>
      </c>
      <c r="F17" s="44">
        <f t="shared" si="0"/>
        <v>9.48</v>
      </c>
      <c r="G17" s="44">
        <f t="shared" si="0"/>
        <v>9.7200000000000006</v>
      </c>
      <c r="H17" s="44">
        <f t="shared" si="0"/>
        <v>9.9600000000000009</v>
      </c>
    </row>
    <row r="18" spans="1:8" ht="16.5" thickBot="1" x14ac:dyDescent="0.2">
      <c r="A18" s="76" t="s">
        <v>73</v>
      </c>
      <c r="B18" s="80" t="s">
        <v>171</v>
      </c>
      <c r="C18" s="84" t="s">
        <v>13</v>
      </c>
      <c r="D18" s="42">
        <f>ROUND(20*1.025,2)</f>
        <v>20.5</v>
      </c>
      <c r="E18" s="43">
        <f t="shared" si="0"/>
        <v>21.01</v>
      </c>
      <c r="F18" s="44">
        <f t="shared" si="0"/>
        <v>21.54</v>
      </c>
      <c r="G18" s="44">
        <f t="shared" si="0"/>
        <v>22.08</v>
      </c>
      <c r="H18" s="44">
        <f t="shared" si="0"/>
        <v>22.63</v>
      </c>
    </row>
    <row r="19" spans="1:8" ht="16.5" thickBot="1" x14ac:dyDescent="0.2">
      <c r="A19" s="76" t="s">
        <v>74</v>
      </c>
      <c r="B19" s="80" t="s">
        <v>172</v>
      </c>
      <c r="C19" s="84" t="s">
        <v>13</v>
      </c>
      <c r="D19" s="42">
        <f>ROUND(19.5*1.025,2)</f>
        <v>19.989999999999998</v>
      </c>
      <c r="E19" s="43">
        <f t="shared" si="0"/>
        <v>20.49</v>
      </c>
      <c r="F19" s="44">
        <f t="shared" si="0"/>
        <v>21</v>
      </c>
      <c r="G19" s="44">
        <f t="shared" si="0"/>
        <v>21.53</v>
      </c>
      <c r="H19" s="44">
        <f t="shared" si="0"/>
        <v>22.07</v>
      </c>
    </row>
    <row r="20" spans="1:8" ht="16.5" thickBot="1" x14ac:dyDescent="0.2">
      <c r="A20" s="76" t="s">
        <v>75</v>
      </c>
      <c r="B20" s="80" t="s">
        <v>16</v>
      </c>
      <c r="C20" s="84" t="s">
        <v>13</v>
      </c>
      <c r="D20" s="42">
        <f>ROUND(26*1.025,2)</f>
        <v>26.65</v>
      </c>
      <c r="E20" s="43">
        <f t="shared" si="0"/>
        <v>27.32</v>
      </c>
      <c r="F20" s="44">
        <f t="shared" si="0"/>
        <v>28</v>
      </c>
      <c r="G20" s="44">
        <f t="shared" si="0"/>
        <v>28.7</v>
      </c>
      <c r="H20" s="44">
        <f t="shared" si="0"/>
        <v>29.42</v>
      </c>
    </row>
    <row r="21" spans="1:8" ht="16.5" thickBot="1" x14ac:dyDescent="0.2">
      <c r="A21" s="76" t="s">
        <v>76</v>
      </c>
      <c r="B21" s="80" t="s">
        <v>17</v>
      </c>
      <c r="C21" s="84" t="s">
        <v>13</v>
      </c>
      <c r="D21" s="42">
        <f>ROUND(23*1.025,2)</f>
        <v>23.58</v>
      </c>
      <c r="E21" s="43">
        <f t="shared" si="0"/>
        <v>24.17</v>
      </c>
      <c r="F21" s="44">
        <f t="shared" si="0"/>
        <v>24.77</v>
      </c>
      <c r="G21" s="44">
        <f t="shared" si="0"/>
        <v>25.39</v>
      </c>
      <c r="H21" s="44">
        <f t="shared" si="0"/>
        <v>26.02</v>
      </c>
    </row>
    <row r="22" spans="1:8" ht="16.5" thickBot="1" x14ac:dyDescent="0.2">
      <c r="A22" s="76" t="s">
        <v>77</v>
      </c>
      <c r="B22" s="80" t="s">
        <v>18</v>
      </c>
      <c r="C22" s="84" t="s">
        <v>13</v>
      </c>
      <c r="D22" s="42">
        <f>ROUND(35*1.025,2)</f>
        <v>35.880000000000003</v>
      </c>
      <c r="E22" s="43">
        <f t="shared" si="0"/>
        <v>36.78</v>
      </c>
      <c r="F22" s="44">
        <f t="shared" si="0"/>
        <v>37.700000000000003</v>
      </c>
      <c r="G22" s="44">
        <f t="shared" si="0"/>
        <v>38.64</v>
      </c>
      <c r="H22" s="44">
        <f t="shared" si="0"/>
        <v>39.61</v>
      </c>
    </row>
    <row r="23" spans="1:8" ht="16.5" thickBot="1" x14ac:dyDescent="0.2">
      <c r="A23" s="76" t="s">
        <v>78</v>
      </c>
      <c r="B23" s="80" t="s">
        <v>19</v>
      </c>
      <c r="C23" s="84" t="s">
        <v>13</v>
      </c>
      <c r="D23" s="42">
        <f>ROUND(30*1.025,2)</f>
        <v>30.75</v>
      </c>
      <c r="E23" s="43">
        <f t="shared" si="0"/>
        <v>31.52</v>
      </c>
      <c r="F23" s="44">
        <f t="shared" si="0"/>
        <v>32.31</v>
      </c>
      <c r="G23" s="44">
        <f t="shared" si="0"/>
        <v>33.119999999999997</v>
      </c>
      <c r="H23" s="44">
        <f t="shared" si="0"/>
        <v>33.950000000000003</v>
      </c>
    </row>
    <row r="24" spans="1:8" ht="16.5" thickBot="1" x14ac:dyDescent="0.2">
      <c r="A24" s="76" t="s">
        <v>79</v>
      </c>
      <c r="B24" s="80" t="s">
        <v>158</v>
      </c>
      <c r="C24" s="84" t="s">
        <v>13</v>
      </c>
      <c r="D24" s="42">
        <f>ROUND(43*1.025,2)</f>
        <v>44.08</v>
      </c>
      <c r="E24" s="43">
        <f t="shared" si="0"/>
        <v>45.18</v>
      </c>
      <c r="F24" s="44">
        <f t="shared" si="0"/>
        <v>46.31</v>
      </c>
      <c r="G24" s="44">
        <f t="shared" si="0"/>
        <v>47.47</v>
      </c>
      <c r="H24" s="44">
        <f t="shared" si="0"/>
        <v>48.66</v>
      </c>
    </row>
    <row r="25" spans="1:8" ht="16.5" thickBot="1" x14ac:dyDescent="0.2">
      <c r="A25" s="76" t="s">
        <v>80</v>
      </c>
      <c r="B25" s="80" t="s">
        <v>159</v>
      </c>
      <c r="C25" s="84" t="s">
        <v>13</v>
      </c>
      <c r="D25" s="42">
        <f>ROUND(40*1.025,2)</f>
        <v>41</v>
      </c>
      <c r="E25" s="43">
        <f t="shared" si="0"/>
        <v>42.03</v>
      </c>
      <c r="F25" s="44">
        <f t="shared" si="0"/>
        <v>43.08</v>
      </c>
      <c r="G25" s="44">
        <f t="shared" si="0"/>
        <v>44.16</v>
      </c>
      <c r="H25" s="44">
        <f t="shared" si="0"/>
        <v>45.26</v>
      </c>
    </row>
    <row r="26" spans="1:8" ht="16.5" thickBot="1" x14ac:dyDescent="0.2">
      <c r="A26" s="76" t="s">
        <v>81</v>
      </c>
      <c r="B26" s="80" t="s">
        <v>173</v>
      </c>
      <c r="C26" s="84" t="s">
        <v>37</v>
      </c>
      <c r="D26" s="42">
        <f>ROUND(59*1.025,2)</f>
        <v>60.48</v>
      </c>
      <c r="E26" s="43">
        <f t="shared" si="0"/>
        <v>61.99</v>
      </c>
      <c r="F26" s="44">
        <f t="shared" si="0"/>
        <v>63.54</v>
      </c>
      <c r="G26" s="44">
        <f t="shared" si="0"/>
        <v>65.13</v>
      </c>
      <c r="H26" s="44">
        <f t="shared" si="0"/>
        <v>66.760000000000005</v>
      </c>
    </row>
    <row r="27" spans="1:8" ht="16.5" thickBot="1" x14ac:dyDescent="0.2">
      <c r="A27" s="76" t="s">
        <v>106</v>
      </c>
      <c r="B27" s="80" t="s">
        <v>174</v>
      </c>
      <c r="C27" s="84" t="s">
        <v>37</v>
      </c>
      <c r="D27" s="42">
        <f>ROUND(42*1.025,2)</f>
        <v>43.05</v>
      </c>
      <c r="E27" s="43">
        <f t="shared" si="0"/>
        <v>44.13</v>
      </c>
      <c r="F27" s="44">
        <f t="shared" si="0"/>
        <v>45.23</v>
      </c>
      <c r="G27" s="44">
        <f t="shared" si="0"/>
        <v>46.36</v>
      </c>
      <c r="H27" s="44">
        <f t="shared" si="0"/>
        <v>47.52</v>
      </c>
    </row>
    <row r="28" spans="1:8" ht="16.5" thickBot="1" x14ac:dyDescent="0.2">
      <c r="A28" s="76" t="s">
        <v>82</v>
      </c>
      <c r="B28" s="80" t="s">
        <v>175</v>
      </c>
      <c r="C28" s="84" t="s">
        <v>13</v>
      </c>
      <c r="D28" s="42">
        <f>ROUND(11*1.025,2)</f>
        <v>11.28</v>
      </c>
      <c r="E28" s="43">
        <f t="shared" si="0"/>
        <v>11.56</v>
      </c>
      <c r="F28" s="44">
        <f t="shared" si="0"/>
        <v>11.85</v>
      </c>
      <c r="G28" s="44">
        <f t="shared" si="0"/>
        <v>12.15</v>
      </c>
      <c r="H28" s="44">
        <f t="shared" si="0"/>
        <v>12.45</v>
      </c>
    </row>
    <row r="29" spans="1:8" ht="16.5" thickBot="1" x14ac:dyDescent="0.2">
      <c r="A29" s="76" t="s">
        <v>83</v>
      </c>
      <c r="B29" s="80" t="s">
        <v>176</v>
      </c>
      <c r="C29" s="84" t="s">
        <v>13</v>
      </c>
      <c r="D29" s="42">
        <f>ROUND(11*1.025,2)</f>
        <v>11.28</v>
      </c>
      <c r="E29" s="43">
        <f t="shared" si="0"/>
        <v>11.56</v>
      </c>
      <c r="F29" s="44">
        <f t="shared" si="0"/>
        <v>11.85</v>
      </c>
      <c r="G29" s="44">
        <f t="shared" si="0"/>
        <v>12.15</v>
      </c>
      <c r="H29" s="44">
        <f t="shared" si="0"/>
        <v>12.45</v>
      </c>
    </row>
    <row r="30" spans="1:8" ht="16.5" thickBot="1" x14ac:dyDescent="0.2">
      <c r="A30" s="76" t="s">
        <v>84</v>
      </c>
      <c r="B30" s="80" t="s">
        <v>20</v>
      </c>
      <c r="C30" s="84" t="s">
        <v>7</v>
      </c>
      <c r="D30" s="42">
        <f>ROUND(1.8*1.025,2)</f>
        <v>1.85</v>
      </c>
      <c r="E30" s="43">
        <f t="shared" si="0"/>
        <v>1.9</v>
      </c>
      <c r="F30" s="44">
        <f t="shared" si="0"/>
        <v>1.95</v>
      </c>
      <c r="G30" s="44">
        <f t="shared" si="0"/>
        <v>2</v>
      </c>
      <c r="H30" s="44">
        <f t="shared" si="0"/>
        <v>2.0499999999999998</v>
      </c>
    </row>
    <row r="31" spans="1:8" ht="16.5" thickBot="1" x14ac:dyDescent="0.2">
      <c r="A31" s="76" t="s">
        <v>85</v>
      </c>
      <c r="B31" s="80" t="s">
        <v>178</v>
      </c>
      <c r="C31" s="84" t="s">
        <v>7</v>
      </c>
      <c r="D31" s="42">
        <f>ROUND(7*1.025,2)</f>
        <v>7.18</v>
      </c>
      <c r="E31" s="43">
        <f t="shared" si="0"/>
        <v>7.36</v>
      </c>
      <c r="F31" s="44">
        <f t="shared" si="0"/>
        <v>7.54</v>
      </c>
      <c r="G31" s="44">
        <f t="shared" si="0"/>
        <v>7.73</v>
      </c>
      <c r="H31" s="44">
        <f t="shared" si="0"/>
        <v>7.92</v>
      </c>
    </row>
    <row r="32" spans="1:8" ht="16.5" thickBot="1" x14ac:dyDescent="0.2">
      <c r="A32" s="76" t="s">
        <v>86</v>
      </c>
      <c r="B32" s="80" t="s">
        <v>21</v>
      </c>
      <c r="C32" s="84" t="s">
        <v>7</v>
      </c>
      <c r="D32" s="42">
        <f>ROUND(5*1.025,2)</f>
        <v>5.13</v>
      </c>
      <c r="E32" s="43">
        <f t="shared" si="0"/>
        <v>5.26</v>
      </c>
      <c r="F32" s="44">
        <f t="shared" si="0"/>
        <v>5.39</v>
      </c>
      <c r="G32" s="44">
        <f t="shared" si="0"/>
        <v>5.52</v>
      </c>
      <c r="H32" s="44">
        <f t="shared" si="0"/>
        <v>5.66</v>
      </c>
    </row>
    <row r="33" spans="1:8" ht="16.5" thickBot="1" x14ac:dyDescent="0.2">
      <c r="A33" s="76" t="s">
        <v>87</v>
      </c>
      <c r="B33" s="80" t="s">
        <v>22</v>
      </c>
      <c r="C33" s="84" t="s">
        <v>7</v>
      </c>
      <c r="D33" s="42">
        <f>ROUND(9.5*1.025,2)</f>
        <v>9.74</v>
      </c>
      <c r="E33" s="43">
        <f t="shared" si="0"/>
        <v>9.98</v>
      </c>
      <c r="F33" s="44">
        <f t="shared" si="0"/>
        <v>10.23</v>
      </c>
      <c r="G33" s="44">
        <f t="shared" si="0"/>
        <v>10.49</v>
      </c>
      <c r="H33" s="44">
        <f t="shared" si="0"/>
        <v>10.75</v>
      </c>
    </row>
    <row r="34" spans="1:8" ht="16.5" thickBot="1" x14ac:dyDescent="0.2">
      <c r="A34" s="76" t="s">
        <v>88</v>
      </c>
      <c r="B34" s="80" t="s">
        <v>23</v>
      </c>
      <c r="C34" s="84" t="s">
        <v>7</v>
      </c>
      <c r="D34" s="42">
        <f>ROUND(4.5*1.025,2)</f>
        <v>4.6100000000000003</v>
      </c>
      <c r="E34" s="43">
        <f t="shared" si="0"/>
        <v>4.7300000000000004</v>
      </c>
      <c r="F34" s="44">
        <f t="shared" si="0"/>
        <v>4.8499999999999996</v>
      </c>
      <c r="G34" s="44">
        <f t="shared" si="0"/>
        <v>4.97</v>
      </c>
      <c r="H34" s="44">
        <f t="shared" si="0"/>
        <v>5.09</v>
      </c>
    </row>
    <row r="35" spans="1:8" ht="16.5" thickBot="1" x14ac:dyDescent="0.2">
      <c r="A35" s="76" t="s">
        <v>89</v>
      </c>
      <c r="B35" s="80" t="s">
        <v>24</v>
      </c>
      <c r="C35" s="84" t="s">
        <v>13</v>
      </c>
      <c r="D35" s="42">
        <f>ROUND(5.5*1.025,2)</f>
        <v>5.64</v>
      </c>
      <c r="E35" s="43">
        <f t="shared" si="0"/>
        <v>5.78</v>
      </c>
      <c r="F35" s="44">
        <f t="shared" si="0"/>
        <v>5.92</v>
      </c>
      <c r="G35" s="44">
        <f t="shared" si="0"/>
        <v>6.07</v>
      </c>
      <c r="H35" s="44">
        <f t="shared" si="0"/>
        <v>6.22</v>
      </c>
    </row>
    <row r="36" spans="1:8" ht="16.5" thickBot="1" x14ac:dyDescent="0.2">
      <c r="A36" s="76" t="s">
        <v>90</v>
      </c>
      <c r="B36" s="80" t="s">
        <v>25</v>
      </c>
      <c r="C36" s="84" t="s">
        <v>13</v>
      </c>
      <c r="D36" s="42">
        <f>ROUND(4*1.025,2)</f>
        <v>4.0999999999999996</v>
      </c>
      <c r="E36" s="43">
        <f t="shared" si="0"/>
        <v>4.2</v>
      </c>
      <c r="F36" s="44">
        <f t="shared" si="0"/>
        <v>4.3099999999999996</v>
      </c>
      <c r="G36" s="44">
        <f t="shared" si="0"/>
        <v>4.42</v>
      </c>
      <c r="H36" s="44">
        <f t="shared" si="0"/>
        <v>4.53</v>
      </c>
    </row>
    <row r="37" spans="1:8" ht="16.5" thickBot="1" x14ac:dyDescent="0.2">
      <c r="A37" s="76" t="s">
        <v>91</v>
      </c>
      <c r="B37" s="80" t="s">
        <v>26</v>
      </c>
      <c r="C37" s="84" t="s">
        <v>13</v>
      </c>
      <c r="D37" s="42">
        <f>ROUND(1.9*1.025,2)</f>
        <v>1.95</v>
      </c>
      <c r="E37" s="43">
        <f t="shared" si="0"/>
        <v>2</v>
      </c>
      <c r="F37" s="44">
        <f t="shared" si="0"/>
        <v>2.0499999999999998</v>
      </c>
      <c r="G37" s="44">
        <f t="shared" si="0"/>
        <v>2.1</v>
      </c>
      <c r="H37" s="44">
        <f t="shared" si="0"/>
        <v>2.15</v>
      </c>
    </row>
    <row r="38" spans="1:8" ht="16.5" thickBot="1" x14ac:dyDescent="0.2">
      <c r="A38" s="76" t="s">
        <v>92</v>
      </c>
      <c r="B38" s="80" t="s">
        <v>27</v>
      </c>
      <c r="C38" s="84" t="s">
        <v>13</v>
      </c>
      <c r="D38" s="42">
        <f>ROUND(1.1*1.025,2)</f>
        <v>1.1299999999999999</v>
      </c>
      <c r="E38" s="43">
        <f t="shared" si="0"/>
        <v>1.1599999999999999</v>
      </c>
      <c r="F38" s="44">
        <f t="shared" si="0"/>
        <v>1.19</v>
      </c>
      <c r="G38" s="44">
        <f t="shared" si="0"/>
        <v>1.22</v>
      </c>
      <c r="H38" s="44">
        <f t="shared" si="0"/>
        <v>1.25</v>
      </c>
    </row>
    <row r="39" spans="1:8" ht="16.5" thickBot="1" x14ac:dyDescent="0.2">
      <c r="A39" s="76" t="s">
        <v>93</v>
      </c>
      <c r="B39" s="80" t="s">
        <v>179</v>
      </c>
      <c r="C39" s="84" t="s">
        <v>13</v>
      </c>
      <c r="D39" s="42">
        <f>ROUND(5*1.025,2)</f>
        <v>5.13</v>
      </c>
      <c r="E39" s="43">
        <f t="shared" si="0"/>
        <v>5.26</v>
      </c>
      <c r="F39" s="44">
        <f t="shared" si="0"/>
        <v>5.39</v>
      </c>
      <c r="G39" s="44">
        <f t="shared" si="0"/>
        <v>5.52</v>
      </c>
      <c r="H39" s="44">
        <f t="shared" si="0"/>
        <v>5.66</v>
      </c>
    </row>
    <row r="40" spans="1:8" ht="16.5" thickBot="1" x14ac:dyDescent="0.2">
      <c r="A40" s="76" t="s">
        <v>94</v>
      </c>
      <c r="B40" s="80" t="s">
        <v>28</v>
      </c>
      <c r="C40" s="84" t="s">
        <v>13</v>
      </c>
      <c r="D40" s="42">
        <f>ROUND(1.7*1.025,2)</f>
        <v>1.74</v>
      </c>
      <c r="E40" s="43">
        <f t="shared" si="0"/>
        <v>1.78</v>
      </c>
      <c r="F40" s="44">
        <f t="shared" si="0"/>
        <v>1.82</v>
      </c>
      <c r="G40" s="44">
        <f t="shared" si="0"/>
        <v>1.87</v>
      </c>
      <c r="H40" s="44">
        <f t="shared" si="0"/>
        <v>1.92</v>
      </c>
    </row>
    <row r="41" spans="1:8" ht="16.5" thickBot="1" x14ac:dyDescent="0.3">
      <c r="A41" s="75"/>
      <c r="B41" s="79" t="s">
        <v>188</v>
      </c>
      <c r="C41" s="85"/>
      <c r="D41" s="45"/>
      <c r="E41" s="45"/>
      <c r="F41" s="45"/>
      <c r="G41" s="45"/>
      <c r="H41" s="45"/>
    </row>
    <row r="42" spans="1:8" ht="16.5" thickBot="1" x14ac:dyDescent="0.2">
      <c r="A42" s="76" t="s">
        <v>95</v>
      </c>
      <c r="B42" s="80" t="s">
        <v>201</v>
      </c>
      <c r="C42" s="84" t="s">
        <v>6</v>
      </c>
      <c r="D42" s="42">
        <f>ROUND(115*1.025,2)</f>
        <v>117.88</v>
      </c>
      <c r="E42" s="43">
        <f t="shared" si="0"/>
        <v>120.83</v>
      </c>
      <c r="F42" s="44">
        <f t="shared" si="0"/>
        <v>123.85</v>
      </c>
      <c r="G42" s="44">
        <f t="shared" si="0"/>
        <v>126.95</v>
      </c>
      <c r="H42" s="44">
        <f t="shared" si="0"/>
        <v>130.12</v>
      </c>
    </row>
    <row r="43" spans="1:8" ht="16.5" thickBot="1" x14ac:dyDescent="0.2">
      <c r="A43" s="76" t="s">
        <v>96</v>
      </c>
      <c r="B43" s="80" t="s">
        <v>202</v>
      </c>
      <c r="C43" s="84" t="s">
        <v>6</v>
      </c>
      <c r="D43" s="42">
        <f>ROUND(95*1.025,2)</f>
        <v>97.38</v>
      </c>
      <c r="E43" s="43">
        <f t="shared" si="0"/>
        <v>99.81</v>
      </c>
      <c r="F43" s="44">
        <f t="shared" si="0"/>
        <v>102.31</v>
      </c>
      <c r="G43" s="44">
        <f t="shared" si="0"/>
        <v>104.87</v>
      </c>
      <c r="H43" s="44">
        <f t="shared" si="0"/>
        <v>107.49</v>
      </c>
    </row>
    <row r="44" spans="1:8" ht="16.5" thickBot="1" x14ac:dyDescent="0.2">
      <c r="A44" s="76" t="s">
        <v>97</v>
      </c>
      <c r="B44" s="80" t="s">
        <v>29</v>
      </c>
      <c r="C44" s="84" t="s">
        <v>6</v>
      </c>
      <c r="D44" s="42">
        <f>ROUND(90*1.025,2)</f>
        <v>92.25</v>
      </c>
      <c r="E44" s="43">
        <f t="shared" si="0"/>
        <v>94.56</v>
      </c>
      <c r="F44" s="44">
        <f t="shared" si="0"/>
        <v>96.92</v>
      </c>
      <c r="G44" s="44">
        <f t="shared" si="0"/>
        <v>99.34</v>
      </c>
      <c r="H44" s="44">
        <f t="shared" si="0"/>
        <v>101.82</v>
      </c>
    </row>
    <row r="45" spans="1:8" ht="16.5" thickBot="1" x14ac:dyDescent="0.2">
      <c r="A45" s="76" t="s">
        <v>98</v>
      </c>
      <c r="B45" s="80" t="s">
        <v>30</v>
      </c>
      <c r="C45" s="84" t="s">
        <v>7</v>
      </c>
      <c r="D45" s="42">
        <f>ROUND(10.5*1.025,2)</f>
        <v>10.76</v>
      </c>
      <c r="E45" s="43">
        <f t="shared" si="0"/>
        <v>11.03</v>
      </c>
      <c r="F45" s="44">
        <f t="shared" si="0"/>
        <v>11.31</v>
      </c>
      <c r="G45" s="44">
        <f t="shared" si="0"/>
        <v>11.59</v>
      </c>
      <c r="H45" s="44">
        <f t="shared" si="0"/>
        <v>11.88</v>
      </c>
    </row>
    <row r="46" spans="1:8" ht="16.5" thickBot="1" x14ac:dyDescent="0.2">
      <c r="A46" s="76" t="s">
        <v>99</v>
      </c>
      <c r="B46" s="80" t="s">
        <v>203</v>
      </c>
      <c r="C46" s="84" t="s">
        <v>7</v>
      </c>
      <c r="D46" s="120">
        <f>ROUND(10.5*1.025,2)</f>
        <v>10.76</v>
      </c>
      <c r="E46" s="70">
        <f t="shared" si="0"/>
        <v>11.03</v>
      </c>
      <c r="F46" s="121">
        <f t="shared" si="0"/>
        <v>11.31</v>
      </c>
      <c r="G46" s="121">
        <f t="shared" si="0"/>
        <v>11.59</v>
      </c>
      <c r="H46" s="121">
        <f t="shared" si="0"/>
        <v>11.88</v>
      </c>
    </row>
    <row r="47" spans="1:8" ht="16.5" thickBot="1" x14ac:dyDescent="0.2">
      <c r="A47" s="76" t="s">
        <v>100</v>
      </c>
      <c r="B47" s="80" t="s">
        <v>204</v>
      </c>
      <c r="C47" s="84" t="s">
        <v>7</v>
      </c>
      <c r="D47" s="42">
        <f>ROUND(6.6*1.025,2)</f>
        <v>6.77</v>
      </c>
      <c r="E47" s="43">
        <f t="shared" si="0"/>
        <v>6.94</v>
      </c>
      <c r="F47" s="44">
        <f t="shared" si="0"/>
        <v>7.11</v>
      </c>
      <c r="G47" s="44">
        <f t="shared" si="0"/>
        <v>7.29</v>
      </c>
      <c r="H47" s="44">
        <f t="shared" si="0"/>
        <v>7.47</v>
      </c>
    </row>
    <row r="48" spans="1:8" ht="16.5" thickBot="1" x14ac:dyDescent="0.2">
      <c r="A48" s="76" t="s">
        <v>101</v>
      </c>
      <c r="B48" s="80" t="s">
        <v>31</v>
      </c>
      <c r="C48" s="84" t="s">
        <v>6</v>
      </c>
      <c r="D48" s="42">
        <f>ROUND(2*1.025,2)</f>
        <v>2.0499999999999998</v>
      </c>
      <c r="E48" s="43">
        <f t="shared" si="0"/>
        <v>2.1</v>
      </c>
      <c r="F48" s="44">
        <f t="shared" si="0"/>
        <v>2.15</v>
      </c>
      <c r="G48" s="44">
        <f t="shared" si="0"/>
        <v>2.2000000000000002</v>
      </c>
      <c r="H48" s="44">
        <f t="shared" si="0"/>
        <v>2.2599999999999998</v>
      </c>
    </row>
    <row r="49" spans="1:8" ht="16.5" thickBot="1" x14ac:dyDescent="0.2">
      <c r="A49" s="76" t="s">
        <v>102</v>
      </c>
      <c r="B49" s="80" t="s">
        <v>206</v>
      </c>
      <c r="C49" s="84" t="s">
        <v>7</v>
      </c>
      <c r="D49" s="42">
        <f>ROUND(28.6*1.025,2)</f>
        <v>29.32</v>
      </c>
      <c r="E49" s="43">
        <f t="shared" si="0"/>
        <v>30.05</v>
      </c>
      <c r="F49" s="44">
        <f t="shared" si="0"/>
        <v>30.8</v>
      </c>
      <c r="G49" s="44">
        <f t="shared" si="0"/>
        <v>31.57</v>
      </c>
      <c r="H49" s="44">
        <f t="shared" si="0"/>
        <v>32.36</v>
      </c>
    </row>
    <row r="50" spans="1:8" ht="16.5" thickBot="1" x14ac:dyDescent="0.2">
      <c r="A50" s="76" t="s">
        <v>104</v>
      </c>
      <c r="B50" s="80" t="s">
        <v>207</v>
      </c>
      <c r="C50" s="84" t="s">
        <v>7</v>
      </c>
      <c r="D50" s="42">
        <f>ROUND(21.9*1.025,2)</f>
        <v>22.45</v>
      </c>
      <c r="E50" s="43">
        <f t="shared" si="0"/>
        <v>23.01</v>
      </c>
      <c r="F50" s="44">
        <f t="shared" si="0"/>
        <v>23.59</v>
      </c>
      <c r="G50" s="44">
        <f t="shared" si="0"/>
        <v>24.18</v>
      </c>
      <c r="H50" s="44">
        <f t="shared" si="0"/>
        <v>24.78</v>
      </c>
    </row>
    <row r="51" spans="1:8" ht="16.5" thickBot="1" x14ac:dyDescent="0.2">
      <c r="A51" s="76" t="s">
        <v>103</v>
      </c>
      <c r="B51" s="80" t="s">
        <v>205</v>
      </c>
      <c r="C51" s="84" t="s">
        <v>6</v>
      </c>
      <c r="D51" s="42">
        <f>ROUND(8.8*1.025,2)</f>
        <v>9.02</v>
      </c>
      <c r="E51" s="43">
        <f t="shared" si="0"/>
        <v>9.25</v>
      </c>
      <c r="F51" s="44">
        <f t="shared" si="0"/>
        <v>9.48</v>
      </c>
      <c r="G51" s="44">
        <f t="shared" si="0"/>
        <v>9.7200000000000006</v>
      </c>
      <c r="H51" s="44">
        <f t="shared" si="0"/>
        <v>9.9600000000000009</v>
      </c>
    </row>
    <row r="52" spans="1:8" ht="16.5" thickBot="1" x14ac:dyDescent="0.2">
      <c r="A52" s="76" t="s">
        <v>105</v>
      </c>
      <c r="B52" s="80" t="s">
        <v>32</v>
      </c>
      <c r="C52" s="84" t="s">
        <v>6</v>
      </c>
      <c r="D52" s="42">
        <f>ROUND(9.9*1.025,2)</f>
        <v>10.15</v>
      </c>
      <c r="E52" s="43">
        <f t="shared" si="0"/>
        <v>10.4</v>
      </c>
      <c r="F52" s="44">
        <f t="shared" si="0"/>
        <v>10.66</v>
      </c>
      <c r="G52" s="44">
        <f t="shared" si="0"/>
        <v>10.93</v>
      </c>
      <c r="H52" s="44">
        <f t="shared" si="0"/>
        <v>11.2</v>
      </c>
    </row>
    <row r="53" spans="1:8" ht="16.5" thickBot="1" x14ac:dyDescent="0.2">
      <c r="A53" s="76" t="s">
        <v>107</v>
      </c>
      <c r="B53" s="80" t="s">
        <v>180</v>
      </c>
      <c r="C53" s="84" t="s">
        <v>6</v>
      </c>
      <c r="D53" s="42">
        <f>ROUND(6.8*1.025,2)</f>
        <v>6.97</v>
      </c>
      <c r="E53" s="43">
        <f t="shared" si="0"/>
        <v>7.14</v>
      </c>
      <c r="F53" s="44">
        <f t="shared" si="0"/>
        <v>7.32</v>
      </c>
      <c r="G53" s="44">
        <f t="shared" si="0"/>
        <v>7.5</v>
      </c>
      <c r="H53" s="44">
        <f t="shared" si="0"/>
        <v>7.69</v>
      </c>
    </row>
    <row r="54" spans="1:8" ht="16.5" thickBot="1" x14ac:dyDescent="0.2">
      <c r="A54" s="76" t="s">
        <v>108</v>
      </c>
      <c r="B54" s="80" t="s">
        <v>33</v>
      </c>
      <c r="C54" s="84" t="s">
        <v>6</v>
      </c>
      <c r="D54" s="42">
        <f>ROUND(10.5*1.025,2)</f>
        <v>10.76</v>
      </c>
      <c r="E54" s="43">
        <f t="shared" si="0"/>
        <v>11.03</v>
      </c>
      <c r="F54" s="44">
        <f t="shared" si="0"/>
        <v>11.31</v>
      </c>
      <c r="G54" s="44">
        <f t="shared" si="0"/>
        <v>11.59</v>
      </c>
      <c r="H54" s="44">
        <f t="shared" si="0"/>
        <v>11.88</v>
      </c>
    </row>
    <row r="55" spans="1:8" ht="16.5" thickBot="1" x14ac:dyDescent="0.2">
      <c r="A55" s="76" t="s">
        <v>109</v>
      </c>
      <c r="B55" s="80" t="s">
        <v>34</v>
      </c>
      <c r="C55" s="84" t="s">
        <v>6</v>
      </c>
      <c r="D55" s="42">
        <f>ROUND(11.1*1.025,2)</f>
        <v>11.38</v>
      </c>
      <c r="E55" s="43">
        <f t="shared" si="0"/>
        <v>11.66</v>
      </c>
      <c r="F55" s="44">
        <f t="shared" si="0"/>
        <v>11.95</v>
      </c>
      <c r="G55" s="44">
        <f t="shared" si="0"/>
        <v>12.25</v>
      </c>
      <c r="H55" s="44">
        <f t="shared" si="0"/>
        <v>12.56</v>
      </c>
    </row>
    <row r="56" spans="1:8" ht="16.5" thickBot="1" x14ac:dyDescent="0.2">
      <c r="A56" s="76" t="s">
        <v>110</v>
      </c>
      <c r="B56" s="80" t="s">
        <v>162</v>
      </c>
      <c r="C56" s="84" t="s">
        <v>13</v>
      </c>
      <c r="D56" s="42">
        <f>ROUND(102*1.025,2)</f>
        <v>104.55</v>
      </c>
      <c r="E56" s="43">
        <f t="shared" si="0"/>
        <v>107.16</v>
      </c>
      <c r="F56" s="44">
        <f t="shared" si="0"/>
        <v>109.84</v>
      </c>
      <c r="G56" s="44">
        <f t="shared" si="0"/>
        <v>112.59</v>
      </c>
      <c r="H56" s="44">
        <f t="shared" si="0"/>
        <v>115.4</v>
      </c>
    </row>
    <row r="57" spans="1:8" ht="16.5" thickBot="1" x14ac:dyDescent="0.2">
      <c r="A57" s="76" t="s">
        <v>111</v>
      </c>
      <c r="B57" s="80" t="s">
        <v>35</v>
      </c>
      <c r="C57" s="84" t="s">
        <v>13</v>
      </c>
      <c r="D57" s="42">
        <f>ROUND(102.9*1.025,2)</f>
        <v>105.47</v>
      </c>
      <c r="E57" s="43">
        <f t="shared" si="0"/>
        <v>108.11</v>
      </c>
      <c r="F57" s="44">
        <f t="shared" si="0"/>
        <v>110.81</v>
      </c>
      <c r="G57" s="44">
        <f t="shared" si="0"/>
        <v>113.58</v>
      </c>
      <c r="H57" s="44">
        <f t="shared" si="0"/>
        <v>116.42</v>
      </c>
    </row>
    <row r="58" spans="1:8" ht="16.5" thickBot="1" x14ac:dyDescent="0.2">
      <c r="A58" s="76" t="s">
        <v>112</v>
      </c>
      <c r="B58" s="80" t="s">
        <v>181</v>
      </c>
      <c r="C58" s="84" t="s">
        <v>13</v>
      </c>
      <c r="D58" s="42">
        <f>ROUND(157*1.025,2)</f>
        <v>160.93</v>
      </c>
      <c r="E58" s="43">
        <f t="shared" si="0"/>
        <v>164.95</v>
      </c>
      <c r="F58" s="44">
        <f t="shared" si="0"/>
        <v>169.07</v>
      </c>
      <c r="G58" s="44">
        <f t="shared" si="0"/>
        <v>173.3</v>
      </c>
      <c r="H58" s="44">
        <f t="shared" si="0"/>
        <v>177.63</v>
      </c>
    </row>
    <row r="59" spans="1:8" ht="16.5" thickBot="1" x14ac:dyDescent="0.2">
      <c r="A59" s="76" t="s">
        <v>113</v>
      </c>
      <c r="B59" s="80" t="s">
        <v>36</v>
      </c>
      <c r="C59" s="84" t="s">
        <v>13</v>
      </c>
      <c r="D59" s="42">
        <f>ROUND(103.9*1.025,2)</f>
        <v>106.5</v>
      </c>
      <c r="E59" s="43">
        <f t="shared" si="0"/>
        <v>109.16</v>
      </c>
      <c r="F59" s="44">
        <f t="shared" si="0"/>
        <v>111.89</v>
      </c>
      <c r="G59" s="44">
        <f t="shared" si="0"/>
        <v>114.69</v>
      </c>
      <c r="H59" s="44">
        <f t="shared" si="0"/>
        <v>117.56</v>
      </c>
    </row>
    <row r="60" spans="1:8" ht="16.5" thickBot="1" x14ac:dyDescent="0.2">
      <c r="A60" s="76" t="s">
        <v>114</v>
      </c>
      <c r="B60" s="80" t="s">
        <v>182</v>
      </c>
      <c r="C60" s="84" t="s">
        <v>13</v>
      </c>
      <c r="D60" s="42">
        <f>ROUND(136.5*1.025,2)</f>
        <v>139.91</v>
      </c>
      <c r="E60" s="43">
        <f t="shared" si="0"/>
        <v>143.41</v>
      </c>
      <c r="F60" s="44">
        <f t="shared" si="0"/>
        <v>147</v>
      </c>
      <c r="G60" s="44">
        <f t="shared" si="0"/>
        <v>150.68</v>
      </c>
      <c r="H60" s="44">
        <f t="shared" si="0"/>
        <v>154.44999999999999</v>
      </c>
    </row>
    <row r="61" spans="1:8" ht="16.5" thickBot="1" x14ac:dyDescent="0.2">
      <c r="A61" s="76" t="s">
        <v>115</v>
      </c>
      <c r="B61" s="80" t="s">
        <v>185</v>
      </c>
      <c r="C61" s="84" t="s">
        <v>13</v>
      </c>
      <c r="D61" s="42">
        <f>ROUND(25.2*1.025,2)</f>
        <v>25.83</v>
      </c>
      <c r="E61" s="43">
        <f t="shared" si="0"/>
        <v>26.48</v>
      </c>
      <c r="F61" s="44">
        <f t="shared" si="0"/>
        <v>27.14</v>
      </c>
      <c r="G61" s="44">
        <f t="shared" si="0"/>
        <v>27.82</v>
      </c>
      <c r="H61" s="44">
        <f t="shared" si="0"/>
        <v>28.52</v>
      </c>
    </row>
    <row r="62" spans="1:8" ht="16.5" thickBot="1" x14ac:dyDescent="0.2">
      <c r="A62" s="76" t="s">
        <v>116</v>
      </c>
      <c r="B62" s="80" t="s">
        <v>186</v>
      </c>
      <c r="C62" s="84" t="s">
        <v>13</v>
      </c>
      <c r="D62" s="42">
        <f>ROUND(45.4*1.025,2)</f>
        <v>46.54</v>
      </c>
      <c r="E62" s="43">
        <f t="shared" si="0"/>
        <v>47.7</v>
      </c>
      <c r="F62" s="44">
        <f t="shared" si="0"/>
        <v>48.89</v>
      </c>
      <c r="G62" s="44">
        <f t="shared" si="0"/>
        <v>50.11</v>
      </c>
      <c r="H62" s="44">
        <f t="shared" si="0"/>
        <v>51.36</v>
      </c>
    </row>
    <row r="63" spans="1:8" ht="16.5" thickBot="1" x14ac:dyDescent="0.2">
      <c r="A63" s="76" t="s">
        <v>117</v>
      </c>
      <c r="B63" s="80" t="s">
        <v>183</v>
      </c>
      <c r="C63" s="84" t="s">
        <v>13</v>
      </c>
      <c r="D63" s="42">
        <f>ROUND(23*1.025,2)</f>
        <v>23.58</v>
      </c>
      <c r="E63" s="43">
        <f t="shared" si="0"/>
        <v>24.17</v>
      </c>
      <c r="F63" s="44">
        <f t="shared" si="0"/>
        <v>24.77</v>
      </c>
      <c r="G63" s="44">
        <f t="shared" si="0"/>
        <v>25.39</v>
      </c>
      <c r="H63" s="44">
        <f t="shared" si="0"/>
        <v>26.02</v>
      </c>
    </row>
    <row r="64" spans="1:8" ht="16.5" thickBot="1" x14ac:dyDescent="0.2">
      <c r="A64" s="76" t="s">
        <v>118</v>
      </c>
      <c r="B64" s="80" t="s">
        <v>184</v>
      </c>
      <c r="C64" s="84" t="s">
        <v>13</v>
      </c>
      <c r="D64" s="42">
        <f>ROUND(36.75*1.025,2)</f>
        <v>37.67</v>
      </c>
      <c r="E64" s="43">
        <f t="shared" si="0"/>
        <v>38.61</v>
      </c>
      <c r="F64" s="44">
        <f t="shared" si="0"/>
        <v>39.58</v>
      </c>
      <c r="G64" s="44">
        <f t="shared" si="0"/>
        <v>40.57</v>
      </c>
      <c r="H64" s="44">
        <f t="shared" si="0"/>
        <v>41.58</v>
      </c>
    </row>
    <row r="65" spans="1:8" ht="16.5" thickBot="1" x14ac:dyDescent="0.2">
      <c r="A65" s="76" t="s">
        <v>119</v>
      </c>
      <c r="B65" s="80" t="s">
        <v>189</v>
      </c>
      <c r="C65" s="84" t="s">
        <v>7</v>
      </c>
      <c r="D65" s="42">
        <f>ROUND(7.35*1.025,2)</f>
        <v>7.53</v>
      </c>
      <c r="E65" s="43">
        <f t="shared" si="0"/>
        <v>7.72</v>
      </c>
      <c r="F65" s="44">
        <f t="shared" si="0"/>
        <v>7.91</v>
      </c>
      <c r="G65" s="44">
        <f t="shared" si="0"/>
        <v>8.11</v>
      </c>
      <c r="H65" s="44">
        <f t="shared" si="0"/>
        <v>8.31</v>
      </c>
    </row>
    <row r="66" spans="1:8" ht="16.5" thickBot="1" x14ac:dyDescent="0.2">
      <c r="A66" s="76" t="s">
        <v>120</v>
      </c>
      <c r="B66" s="80" t="s">
        <v>187</v>
      </c>
      <c r="C66" s="84" t="s">
        <v>7</v>
      </c>
      <c r="D66" s="42">
        <f>ROUND(8.75*1.025,2)</f>
        <v>8.9700000000000006</v>
      </c>
      <c r="E66" s="43">
        <f t="shared" si="0"/>
        <v>9.19</v>
      </c>
      <c r="F66" s="44">
        <f t="shared" si="0"/>
        <v>9.42</v>
      </c>
      <c r="G66" s="44">
        <f t="shared" si="0"/>
        <v>9.66</v>
      </c>
      <c r="H66" s="44">
        <f t="shared" si="0"/>
        <v>9.9</v>
      </c>
    </row>
    <row r="67" spans="1:8" ht="16.5" thickBot="1" x14ac:dyDescent="0.2">
      <c r="A67" s="65" t="s">
        <v>121</v>
      </c>
      <c r="B67" s="67" t="s">
        <v>359</v>
      </c>
      <c r="C67" s="73" t="s">
        <v>7</v>
      </c>
      <c r="D67" s="120"/>
      <c r="E67" s="70">
        <v>12.75</v>
      </c>
      <c r="F67" s="70">
        <v>14.25</v>
      </c>
      <c r="G67" s="70">
        <v>15.75</v>
      </c>
      <c r="H67" s="70">
        <v>17.25</v>
      </c>
    </row>
    <row r="68" spans="1:8" ht="16.5" thickBot="1" x14ac:dyDescent="0.2">
      <c r="A68" s="65" t="s">
        <v>122</v>
      </c>
      <c r="B68" s="67" t="s">
        <v>360</v>
      </c>
      <c r="C68" s="73" t="s">
        <v>7</v>
      </c>
      <c r="D68" s="120"/>
      <c r="E68" s="70">
        <v>9.75</v>
      </c>
      <c r="F68" s="70">
        <v>11.25</v>
      </c>
      <c r="G68" s="70">
        <v>12.75</v>
      </c>
      <c r="H68" s="70">
        <v>14.25</v>
      </c>
    </row>
    <row r="69" spans="1:8" ht="16.5" thickBot="1" x14ac:dyDescent="0.2">
      <c r="A69" s="76" t="s">
        <v>123</v>
      </c>
      <c r="B69" s="80" t="s">
        <v>161</v>
      </c>
      <c r="C69" s="84" t="s">
        <v>37</v>
      </c>
      <c r="D69" s="42">
        <f>ROUND(50*1.025,2)</f>
        <v>51.25</v>
      </c>
      <c r="E69" s="43">
        <f t="shared" si="0"/>
        <v>52.53</v>
      </c>
      <c r="F69" s="44">
        <f t="shared" si="0"/>
        <v>53.84</v>
      </c>
      <c r="G69" s="44">
        <f t="shared" si="0"/>
        <v>55.19</v>
      </c>
      <c r="H69" s="44">
        <f t="shared" si="0"/>
        <v>56.57</v>
      </c>
    </row>
    <row r="70" spans="1:8" ht="16.5" thickBot="1" x14ac:dyDescent="0.2">
      <c r="A70" s="76" t="s">
        <v>124</v>
      </c>
      <c r="B70" s="80" t="s">
        <v>160</v>
      </c>
      <c r="C70" s="84" t="s">
        <v>37</v>
      </c>
      <c r="D70" s="42">
        <f>ROUND(17.5*1.025,2)</f>
        <v>17.940000000000001</v>
      </c>
      <c r="E70" s="43">
        <f t="shared" si="0"/>
        <v>18.39</v>
      </c>
      <c r="F70" s="44">
        <f t="shared" si="0"/>
        <v>18.850000000000001</v>
      </c>
      <c r="G70" s="44">
        <f t="shared" si="0"/>
        <v>19.32</v>
      </c>
      <c r="H70" s="44">
        <f t="shared" si="0"/>
        <v>19.8</v>
      </c>
    </row>
    <row r="71" spans="1:8" ht="16.5" thickBot="1" x14ac:dyDescent="0.2">
      <c r="A71" s="75"/>
      <c r="B71" s="79" t="s">
        <v>38</v>
      </c>
      <c r="C71" s="26"/>
      <c r="D71" s="46"/>
      <c r="E71" s="46"/>
      <c r="F71" s="46"/>
      <c r="G71" s="46"/>
      <c r="H71" s="46"/>
    </row>
    <row r="72" spans="1:8" ht="16.5" thickBot="1" x14ac:dyDescent="0.2">
      <c r="A72" s="76" t="s">
        <v>125</v>
      </c>
      <c r="B72" s="80" t="s">
        <v>39</v>
      </c>
      <c r="C72" s="84" t="s">
        <v>8</v>
      </c>
      <c r="D72" s="42">
        <f>ROUND(1990*1.025,2)</f>
        <v>2039.75</v>
      </c>
      <c r="E72" s="43">
        <f t="shared" si="0"/>
        <v>2090.7399999999998</v>
      </c>
      <c r="F72" s="44">
        <f t="shared" si="0"/>
        <v>2143.0100000000002</v>
      </c>
      <c r="G72" s="44">
        <f t="shared" si="0"/>
        <v>2196.59</v>
      </c>
      <c r="H72" s="44">
        <f t="shared" ref="H72:H129" si="1">ROUND(G72*1.025,2)</f>
        <v>2251.5</v>
      </c>
    </row>
    <row r="73" spans="1:8" ht="16.5" thickBot="1" x14ac:dyDescent="0.2">
      <c r="A73" s="76" t="s">
        <v>126</v>
      </c>
      <c r="B73" s="80" t="s">
        <v>40</v>
      </c>
      <c r="C73" s="84" t="s">
        <v>7</v>
      </c>
      <c r="D73" s="42">
        <f>ROUND(49.5*1.025,2)</f>
        <v>50.74</v>
      </c>
      <c r="E73" s="43">
        <f t="shared" ref="E73:G129" si="2">ROUND(D73*1.025,2)</f>
        <v>52.01</v>
      </c>
      <c r="F73" s="44">
        <f t="shared" si="2"/>
        <v>53.31</v>
      </c>
      <c r="G73" s="44">
        <f t="shared" si="2"/>
        <v>54.64</v>
      </c>
      <c r="H73" s="44">
        <f t="shared" si="1"/>
        <v>56.01</v>
      </c>
    </row>
    <row r="74" spans="1:8" ht="16.5" thickBot="1" x14ac:dyDescent="0.2">
      <c r="A74" s="76" t="s">
        <v>127</v>
      </c>
      <c r="B74" s="80" t="s">
        <v>41</v>
      </c>
      <c r="C74" s="84" t="s">
        <v>7</v>
      </c>
      <c r="D74" s="42">
        <f>ROUND(52.5*1.025,2)</f>
        <v>53.81</v>
      </c>
      <c r="E74" s="43">
        <f t="shared" si="2"/>
        <v>55.16</v>
      </c>
      <c r="F74" s="44">
        <f t="shared" si="2"/>
        <v>56.54</v>
      </c>
      <c r="G74" s="44">
        <f t="shared" si="2"/>
        <v>57.95</v>
      </c>
      <c r="H74" s="44">
        <f t="shared" si="1"/>
        <v>59.4</v>
      </c>
    </row>
    <row r="75" spans="1:8" ht="16.5" thickBot="1" x14ac:dyDescent="0.2">
      <c r="A75" s="76" t="s">
        <v>128</v>
      </c>
      <c r="B75" s="80" t="s">
        <v>42</v>
      </c>
      <c r="C75" s="84" t="s">
        <v>7</v>
      </c>
      <c r="D75" s="42">
        <f>ROUND(78.75*1.025,2)</f>
        <v>80.72</v>
      </c>
      <c r="E75" s="43">
        <f t="shared" si="2"/>
        <v>82.74</v>
      </c>
      <c r="F75" s="44">
        <f t="shared" si="2"/>
        <v>84.81</v>
      </c>
      <c r="G75" s="44">
        <f t="shared" si="2"/>
        <v>86.93</v>
      </c>
      <c r="H75" s="44">
        <f t="shared" si="1"/>
        <v>89.1</v>
      </c>
    </row>
    <row r="76" spans="1:8" ht="16.5" thickBot="1" x14ac:dyDescent="0.2">
      <c r="A76" s="76" t="s">
        <v>129</v>
      </c>
      <c r="B76" s="80" t="s">
        <v>208</v>
      </c>
      <c r="C76" s="84" t="s">
        <v>8</v>
      </c>
      <c r="D76" s="42">
        <f>ROUND(3100*1.025,2)</f>
        <v>3177.5</v>
      </c>
      <c r="E76" s="43">
        <f t="shared" si="2"/>
        <v>3256.94</v>
      </c>
      <c r="F76" s="44">
        <f t="shared" si="2"/>
        <v>3338.36</v>
      </c>
      <c r="G76" s="44">
        <f t="shared" si="2"/>
        <v>3421.82</v>
      </c>
      <c r="H76" s="44">
        <f t="shared" si="1"/>
        <v>3507.37</v>
      </c>
    </row>
    <row r="77" spans="1:8" ht="16.5" thickBot="1" x14ac:dyDescent="0.2">
      <c r="A77" s="76" t="s">
        <v>130</v>
      </c>
      <c r="B77" s="80" t="s">
        <v>209</v>
      </c>
      <c r="C77" s="84" t="s">
        <v>7</v>
      </c>
      <c r="D77" s="42">
        <f>ROUND(90*1.025,2)</f>
        <v>92.25</v>
      </c>
      <c r="E77" s="43">
        <f t="shared" si="2"/>
        <v>94.56</v>
      </c>
      <c r="F77" s="44">
        <f t="shared" si="2"/>
        <v>96.92</v>
      </c>
      <c r="G77" s="44">
        <f t="shared" si="2"/>
        <v>99.34</v>
      </c>
      <c r="H77" s="44">
        <f t="shared" si="1"/>
        <v>101.82</v>
      </c>
    </row>
    <row r="78" spans="1:8" ht="16.5" thickBot="1" x14ac:dyDescent="0.2">
      <c r="A78" s="76" t="s">
        <v>131</v>
      </c>
      <c r="B78" s="80" t="s">
        <v>190</v>
      </c>
      <c r="C78" s="84" t="s">
        <v>6</v>
      </c>
      <c r="D78" s="42">
        <f>ROUND(50*1.025,2)</f>
        <v>51.25</v>
      </c>
      <c r="E78" s="43">
        <f t="shared" si="2"/>
        <v>52.53</v>
      </c>
      <c r="F78" s="44">
        <f t="shared" si="2"/>
        <v>53.84</v>
      </c>
      <c r="G78" s="44">
        <f t="shared" si="2"/>
        <v>55.19</v>
      </c>
      <c r="H78" s="44">
        <f t="shared" si="1"/>
        <v>56.57</v>
      </c>
    </row>
    <row r="79" spans="1:8" ht="16.5" thickBot="1" x14ac:dyDescent="0.2">
      <c r="A79" s="75"/>
      <c r="B79" s="79" t="s">
        <v>43</v>
      </c>
      <c r="C79" s="26"/>
      <c r="D79" s="46"/>
      <c r="E79" s="46"/>
      <c r="F79" s="46"/>
      <c r="G79" s="46"/>
      <c r="H79" s="46"/>
    </row>
    <row r="80" spans="1:8" ht="16.5" thickBot="1" x14ac:dyDescent="0.2">
      <c r="A80" s="76" t="s">
        <v>132</v>
      </c>
      <c r="B80" s="80" t="s">
        <v>210</v>
      </c>
      <c r="C80" s="84" t="s">
        <v>7</v>
      </c>
      <c r="D80" s="42">
        <f>ROUND(55.1*1.025,2)</f>
        <v>56.48</v>
      </c>
      <c r="E80" s="43">
        <f t="shared" si="2"/>
        <v>57.89</v>
      </c>
      <c r="F80" s="44">
        <f t="shared" si="2"/>
        <v>59.34</v>
      </c>
      <c r="G80" s="44">
        <f t="shared" si="2"/>
        <v>60.82</v>
      </c>
      <c r="H80" s="44">
        <f t="shared" si="1"/>
        <v>62.34</v>
      </c>
    </row>
    <row r="81" spans="1:8" ht="16.5" thickBot="1" x14ac:dyDescent="0.2">
      <c r="A81" s="76" t="s">
        <v>133</v>
      </c>
      <c r="B81" s="80" t="s">
        <v>191</v>
      </c>
      <c r="C81" s="84" t="s">
        <v>7</v>
      </c>
      <c r="D81" s="42">
        <f>ROUND(55.1*1.025,2)</f>
        <v>56.48</v>
      </c>
      <c r="E81" s="43">
        <f t="shared" si="2"/>
        <v>57.89</v>
      </c>
      <c r="F81" s="44">
        <f t="shared" si="2"/>
        <v>59.34</v>
      </c>
      <c r="G81" s="44">
        <f t="shared" si="2"/>
        <v>60.82</v>
      </c>
      <c r="H81" s="44">
        <f t="shared" si="1"/>
        <v>62.34</v>
      </c>
    </row>
    <row r="82" spans="1:8" ht="16.5" thickBot="1" x14ac:dyDescent="0.2">
      <c r="A82" s="76" t="s">
        <v>134</v>
      </c>
      <c r="B82" s="80" t="s">
        <v>192</v>
      </c>
      <c r="C82" s="84" t="s">
        <v>7</v>
      </c>
      <c r="D82" s="42">
        <f>ROUND(88.2*1.025,2)</f>
        <v>90.41</v>
      </c>
      <c r="E82" s="43">
        <f t="shared" si="2"/>
        <v>92.67</v>
      </c>
      <c r="F82" s="44">
        <f t="shared" si="2"/>
        <v>94.99</v>
      </c>
      <c r="G82" s="44">
        <f t="shared" si="2"/>
        <v>97.36</v>
      </c>
      <c r="H82" s="44">
        <f t="shared" si="1"/>
        <v>99.79</v>
      </c>
    </row>
    <row r="83" spans="1:8" s="118" customFormat="1" ht="16.5" thickBot="1" x14ac:dyDescent="0.2">
      <c r="A83" s="113"/>
      <c r="B83" s="96" t="s">
        <v>423</v>
      </c>
      <c r="C83" s="114"/>
      <c r="D83" s="115"/>
      <c r="E83" s="116"/>
      <c r="F83" s="117"/>
      <c r="G83" s="117"/>
      <c r="H83" s="117"/>
    </row>
    <row r="84" spans="1:8" ht="16.5" thickBot="1" x14ac:dyDescent="0.2">
      <c r="A84" s="76" t="s">
        <v>135</v>
      </c>
      <c r="B84" s="80" t="s">
        <v>211</v>
      </c>
      <c r="C84" s="84" t="s">
        <v>7</v>
      </c>
      <c r="D84" s="42">
        <f>ROUND(16.5*1.025,2)</f>
        <v>16.91</v>
      </c>
      <c r="E84" s="43">
        <f t="shared" si="2"/>
        <v>17.329999999999998</v>
      </c>
      <c r="F84" s="44">
        <f t="shared" si="2"/>
        <v>17.760000000000002</v>
      </c>
      <c r="G84" s="44">
        <f t="shared" si="2"/>
        <v>18.2</v>
      </c>
      <c r="H84" s="44">
        <f t="shared" si="1"/>
        <v>18.66</v>
      </c>
    </row>
    <row r="85" spans="1:8" ht="16.5" thickBot="1" x14ac:dyDescent="0.2">
      <c r="A85" s="76" t="s">
        <v>136</v>
      </c>
      <c r="B85" s="80" t="s">
        <v>44</v>
      </c>
      <c r="C85" s="84" t="s">
        <v>8</v>
      </c>
      <c r="D85" s="42">
        <f>ROUND(44.1*1.025,2)</f>
        <v>45.2</v>
      </c>
      <c r="E85" s="43">
        <f t="shared" si="2"/>
        <v>46.33</v>
      </c>
      <c r="F85" s="44">
        <f t="shared" si="2"/>
        <v>47.49</v>
      </c>
      <c r="G85" s="44">
        <f t="shared" si="2"/>
        <v>48.68</v>
      </c>
      <c r="H85" s="44">
        <f t="shared" si="1"/>
        <v>49.9</v>
      </c>
    </row>
    <row r="86" spans="1:8" ht="16.5" thickBot="1" x14ac:dyDescent="0.2">
      <c r="A86" s="75"/>
      <c r="B86" s="79" t="s">
        <v>45</v>
      </c>
      <c r="C86" s="26"/>
      <c r="D86" s="46"/>
      <c r="E86" s="46"/>
      <c r="F86" s="46"/>
      <c r="G86" s="46"/>
      <c r="H86" s="46"/>
    </row>
    <row r="87" spans="1:8" ht="16.5" thickBot="1" x14ac:dyDescent="0.2">
      <c r="A87" s="76" t="s">
        <v>137</v>
      </c>
      <c r="B87" s="80" t="s">
        <v>46</v>
      </c>
      <c r="C87" s="84" t="s">
        <v>8</v>
      </c>
      <c r="D87" s="42">
        <f>ROUND(220*1.025,2)</f>
        <v>225.5</v>
      </c>
      <c r="E87" s="43">
        <f t="shared" si="2"/>
        <v>231.14</v>
      </c>
      <c r="F87" s="44">
        <f t="shared" si="2"/>
        <v>236.92</v>
      </c>
      <c r="G87" s="44">
        <f t="shared" si="2"/>
        <v>242.84</v>
      </c>
      <c r="H87" s="44">
        <f t="shared" si="1"/>
        <v>248.91</v>
      </c>
    </row>
    <row r="88" spans="1:8" ht="16.5" thickBot="1" x14ac:dyDescent="0.2">
      <c r="A88" s="76" t="s">
        <v>138</v>
      </c>
      <c r="B88" s="80" t="s">
        <v>47</v>
      </c>
      <c r="C88" s="84" t="s">
        <v>8</v>
      </c>
      <c r="D88" s="42">
        <f>ROUND(1100*1.025,2)</f>
        <v>1127.5</v>
      </c>
      <c r="E88" s="43">
        <f t="shared" si="2"/>
        <v>1155.69</v>
      </c>
      <c r="F88" s="44">
        <f t="shared" si="2"/>
        <v>1184.58</v>
      </c>
      <c r="G88" s="44">
        <f t="shared" si="2"/>
        <v>1214.19</v>
      </c>
      <c r="H88" s="44">
        <f t="shared" si="1"/>
        <v>1244.54</v>
      </c>
    </row>
    <row r="89" spans="1:8" ht="16.5" thickBot="1" x14ac:dyDescent="0.2">
      <c r="A89" s="76" t="s">
        <v>139</v>
      </c>
      <c r="B89" s="80" t="s">
        <v>48</v>
      </c>
      <c r="C89" s="84" t="s">
        <v>8</v>
      </c>
      <c r="D89" s="42">
        <f>ROUND(870*1.025,2)</f>
        <v>891.75</v>
      </c>
      <c r="E89" s="43">
        <f t="shared" si="2"/>
        <v>914.04</v>
      </c>
      <c r="F89" s="44">
        <f t="shared" si="2"/>
        <v>936.89</v>
      </c>
      <c r="G89" s="44">
        <f t="shared" si="2"/>
        <v>960.31</v>
      </c>
      <c r="H89" s="44">
        <f t="shared" si="1"/>
        <v>984.32</v>
      </c>
    </row>
    <row r="90" spans="1:8" ht="16.5" thickBot="1" x14ac:dyDescent="0.2">
      <c r="A90" s="76" t="s">
        <v>140</v>
      </c>
      <c r="B90" s="80" t="s">
        <v>49</v>
      </c>
      <c r="C90" s="84" t="s">
        <v>8</v>
      </c>
      <c r="D90" s="42">
        <f>ROUND(3300*1.025,2)</f>
        <v>3382.5</v>
      </c>
      <c r="E90" s="43">
        <f t="shared" si="2"/>
        <v>3467.06</v>
      </c>
      <c r="F90" s="44">
        <f t="shared" si="2"/>
        <v>3553.74</v>
      </c>
      <c r="G90" s="44">
        <f t="shared" si="2"/>
        <v>3642.58</v>
      </c>
      <c r="H90" s="44">
        <f t="shared" si="1"/>
        <v>3733.64</v>
      </c>
    </row>
    <row r="91" spans="1:8" s="118" customFormat="1" ht="16.5" thickBot="1" x14ac:dyDescent="0.2">
      <c r="A91" s="113"/>
      <c r="B91" s="102" t="s">
        <v>431</v>
      </c>
      <c r="C91" s="114"/>
      <c r="D91" s="115"/>
      <c r="E91" s="116"/>
      <c r="F91" s="117"/>
      <c r="G91" s="117"/>
      <c r="H91" s="117"/>
    </row>
    <row r="92" spans="1:8" ht="16.5" thickBot="1" x14ac:dyDescent="0.2">
      <c r="A92" s="75"/>
      <c r="B92" s="79" t="s">
        <v>50</v>
      </c>
      <c r="C92" s="26"/>
      <c r="D92" s="46"/>
      <c r="E92" s="46"/>
      <c r="F92" s="46"/>
      <c r="G92" s="46"/>
      <c r="H92" s="46"/>
    </row>
    <row r="93" spans="1:8" ht="16.5" thickBot="1" x14ac:dyDescent="0.2">
      <c r="A93" s="76" t="s">
        <v>141</v>
      </c>
      <c r="B93" s="80" t="s">
        <v>193</v>
      </c>
      <c r="C93" s="84" t="s">
        <v>6</v>
      </c>
      <c r="D93" s="42">
        <f>ROUND(1.5*1.025,2)</f>
        <v>1.54</v>
      </c>
      <c r="E93" s="43">
        <f t="shared" si="2"/>
        <v>1.58</v>
      </c>
      <c r="F93" s="44">
        <f t="shared" si="2"/>
        <v>1.62</v>
      </c>
      <c r="G93" s="44">
        <f t="shared" si="2"/>
        <v>1.66</v>
      </c>
      <c r="H93" s="44">
        <f t="shared" si="1"/>
        <v>1.7</v>
      </c>
    </row>
    <row r="94" spans="1:8" ht="16.5" thickBot="1" x14ac:dyDescent="0.2">
      <c r="A94" s="76" t="s">
        <v>142</v>
      </c>
      <c r="B94" s="80" t="s">
        <v>51</v>
      </c>
      <c r="C94" s="84" t="s">
        <v>6</v>
      </c>
      <c r="D94" s="42">
        <f>ROUND(3.25*1.025,2)</f>
        <v>3.33</v>
      </c>
      <c r="E94" s="43">
        <f t="shared" si="2"/>
        <v>3.41</v>
      </c>
      <c r="F94" s="44">
        <f t="shared" si="2"/>
        <v>3.5</v>
      </c>
      <c r="G94" s="44">
        <f t="shared" si="2"/>
        <v>3.59</v>
      </c>
      <c r="H94" s="44">
        <f t="shared" si="1"/>
        <v>3.68</v>
      </c>
    </row>
    <row r="95" spans="1:8" ht="16.5" thickBot="1" x14ac:dyDescent="0.2">
      <c r="A95" s="76" t="s">
        <v>143</v>
      </c>
      <c r="B95" s="80" t="s">
        <v>194</v>
      </c>
      <c r="C95" s="84" t="s">
        <v>6</v>
      </c>
      <c r="D95" s="42">
        <f>ROUND(8.55*1.025,2)</f>
        <v>8.76</v>
      </c>
      <c r="E95" s="43">
        <f t="shared" si="2"/>
        <v>8.98</v>
      </c>
      <c r="F95" s="44">
        <f t="shared" si="2"/>
        <v>9.1999999999999993</v>
      </c>
      <c r="G95" s="44">
        <f t="shared" si="2"/>
        <v>9.43</v>
      </c>
      <c r="H95" s="44">
        <f t="shared" si="1"/>
        <v>9.67</v>
      </c>
    </row>
    <row r="96" spans="1:8" ht="16.5" thickBot="1" x14ac:dyDescent="0.2">
      <c r="A96" s="76" t="s">
        <v>144</v>
      </c>
      <c r="B96" s="80" t="s">
        <v>195</v>
      </c>
      <c r="C96" s="84" t="s">
        <v>8</v>
      </c>
      <c r="D96" s="42">
        <f>ROUND(4.6*1.025,2)</f>
        <v>4.72</v>
      </c>
      <c r="E96" s="43">
        <f t="shared" si="2"/>
        <v>4.84</v>
      </c>
      <c r="F96" s="44">
        <f t="shared" si="2"/>
        <v>4.96</v>
      </c>
      <c r="G96" s="44">
        <f t="shared" si="2"/>
        <v>5.08</v>
      </c>
      <c r="H96" s="44">
        <f t="shared" si="1"/>
        <v>5.21</v>
      </c>
    </row>
    <row r="97" spans="1:8" ht="16.5" thickBot="1" x14ac:dyDescent="0.2">
      <c r="A97" s="76" t="s">
        <v>145</v>
      </c>
      <c r="B97" s="80" t="s">
        <v>52</v>
      </c>
      <c r="C97" s="84" t="s">
        <v>8</v>
      </c>
      <c r="D97" s="42">
        <f>ROUND(7.9*1.025,2)</f>
        <v>8.1</v>
      </c>
      <c r="E97" s="43">
        <f t="shared" si="2"/>
        <v>8.3000000000000007</v>
      </c>
      <c r="F97" s="44">
        <f t="shared" si="2"/>
        <v>8.51</v>
      </c>
      <c r="G97" s="44">
        <f t="shared" si="2"/>
        <v>8.7200000000000006</v>
      </c>
      <c r="H97" s="44">
        <f t="shared" si="1"/>
        <v>8.94</v>
      </c>
    </row>
    <row r="98" spans="1:8" ht="16.5" thickBot="1" x14ac:dyDescent="0.2">
      <c r="A98" s="76" t="s">
        <v>146</v>
      </c>
      <c r="B98" s="80" t="s">
        <v>212</v>
      </c>
      <c r="C98" s="84" t="s">
        <v>8</v>
      </c>
      <c r="D98" s="42">
        <f>ROUND(4*1.025,2)</f>
        <v>4.0999999999999996</v>
      </c>
      <c r="E98" s="43">
        <f t="shared" si="2"/>
        <v>4.2</v>
      </c>
      <c r="F98" s="44">
        <f t="shared" si="2"/>
        <v>4.3099999999999996</v>
      </c>
      <c r="G98" s="44">
        <f t="shared" si="2"/>
        <v>4.42</v>
      </c>
      <c r="H98" s="44">
        <f t="shared" si="1"/>
        <v>4.53</v>
      </c>
    </row>
    <row r="99" spans="1:8" ht="16.5" thickBot="1" x14ac:dyDescent="0.2">
      <c r="A99" s="76" t="s">
        <v>147</v>
      </c>
      <c r="B99" s="80" t="s">
        <v>213</v>
      </c>
      <c r="C99" s="84" t="s">
        <v>8</v>
      </c>
      <c r="D99" s="42">
        <f>ROUND(11.8*1.025,2)</f>
        <v>12.1</v>
      </c>
      <c r="E99" s="43">
        <f t="shared" si="2"/>
        <v>12.4</v>
      </c>
      <c r="F99" s="44">
        <f t="shared" si="2"/>
        <v>12.71</v>
      </c>
      <c r="G99" s="44">
        <f t="shared" si="2"/>
        <v>13.03</v>
      </c>
      <c r="H99" s="44">
        <f t="shared" si="1"/>
        <v>13.36</v>
      </c>
    </row>
    <row r="100" spans="1:8" ht="16.5" thickBot="1" x14ac:dyDescent="0.2">
      <c r="A100" s="76" t="s">
        <v>148</v>
      </c>
      <c r="B100" s="80" t="s">
        <v>214</v>
      </c>
      <c r="C100" s="84" t="s">
        <v>8</v>
      </c>
      <c r="D100" s="42">
        <f>ROUND(63*1.025,2)</f>
        <v>64.58</v>
      </c>
      <c r="E100" s="43">
        <f t="shared" si="2"/>
        <v>66.19</v>
      </c>
      <c r="F100" s="44">
        <f t="shared" si="2"/>
        <v>67.84</v>
      </c>
      <c r="G100" s="44">
        <f t="shared" si="2"/>
        <v>69.540000000000006</v>
      </c>
      <c r="H100" s="44">
        <f t="shared" si="1"/>
        <v>71.28</v>
      </c>
    </row>
    <row r="101" spans="1:8" ht="16.5" thickBot="1" x14ac:dyDescent="0.2">
      <c r="A101" s="76" t="s">
        <v>149</v>
      </c>
      <c r="B101" s="80" t="s">
        <v>196</v>
      </c>
      <c r="C101" s="84" t="s">
        <v>6</v>
      </c>
      <c r="D101" s="42">
        <f>ROUND(1.05*1.025,2)</f>
        <v>1.08</v>
      </c>
      <c r="E101" s="43">
        <f t="shared" si="2"/>
        <v>1.1100000000000001</v>
      </c>
      <c r="F101" s="44">
        <f t="shared" si="2"/>
        <v>1.1399999999999999</v>
      </c>
      <c r="G101" s="44">
        <f t="shared" si="2"/>
        <v>1.17</v>
      </c>
      <c r="H101" s="44">
        <f t="shared" si="1"/>
        <v>1.2</v>
      </c>
    </row>
    <row r="102" spans="1:8" ht="16.5" thickBot="1" x14ac:dyDescent="0.2">
      <c r="A102" s="76" t="s">
        <v>150</v>
      </c>
      <c r="B102" s="80" t="s">
        <v>53</v>
      </c>
      <c r="C102" s="84" t="s">
        <v>6</v>
      </c>
      <c r="D102" s="42">
        <f>ROUND(1*1.025,2)</f>
        <v>1.03</v>
      </c>
      <c r="E102" s="43">
        <f t="shared" si="2"/>
        <v>1.06</v>
      </c>
      <c r="F102" s="44">
        <f t="shared" si="2"/>
        <v>1.0900000000000001</v>
      </c>
      <c r="G102" s="44">
        <f t="shared" si="2"/>
        <v>1.1200000000000001</v>
      </c>
      <c r="H102" s="44">
        <f t="shared" si="1"/>
        <v>1.1499999999999999</v>
      </c>
    </row>
    <row r="103" spans="1:8" s="118" customFormat="1" ht="16.5" thickBot="1" x14ac:dyDescent="0.2">
      <c r="A103" s="113" t="s">
        <v>151</v>
      </c>
      <c r="B103" s="102" t="s">
        <v>442</v>
      </c>
      <c r="C103" s="114"/>
      <c r="D103" s="115"/>
      <c r="E103" s="116"/>
      <c r="F103" s="117"/>
      <c r="G103" s="117"/>
      <c r="H103" s="117"/>
    </row>
    <row r="104" spans="1:8" s="118" customFormat="1" ht="16.5" thickBot="1" x14ac:dyDescent="0.2">
      <c r="A104" s="113" t="s">
        <v>152</v>
      </c>
      <c r="B104" s="109" t="s">
        <v>443</v>
      </c>
      <c r="C104" s="114"/>
      <c r="D104" s="115"/>
      <c r="E104" s="116"/>
      <c r="F104" s="117"/>
      <c r="G104" s="117"/>
      <c r="H104" s="117"/>
    </row>
    <row r="105" spans="1:8" ht="16.5" thickBot="1" x14ac:dyDescent="0.2">
      <c r="A105" s="77"/>
      <c r="B105" s="82" t="s">
        <v>358</v>
      </c>
      <c r="C105" s="86"/>
      <c r="D105" s="68"/>
      <c r="E105" s="69"/>
      <c r="F105" s="69"/>
      <c r="G105" s="69"/>
      <c r="H105" s="69"/>
    </row>
    <row r="106" spans="1:8" ht="16.5" thickBot="1" x14ac:dyDescent="0.2">
      <c r="A106" s="65" t="s">
        <v>153</v>
      </c>
      <c r="B106" s="80" t="s">
        <v>357</v>
      </c>
      <c r="C106" s="73" t="s">
        <v>13</v>
      </c>
      <c r="D106" s="72"/>
      <c r="E106" s="70">
        <v>39.39</v>
      </c>
      <c r="F106" s="70">
        <v>40.5</v>
      </c>
      <c r="G106" s="70">
        <v>41.64</v>
      </c>
      <c r="H106" s="70">
        <v>42.81</v>
      </c>
    </row>
    <row r="107" spans="1:8" ht="16.5" thickBot="1" x14ac:dyDescent="0.2">
      <c r="A107" s="65" t="s">
        <v>154</v>
      </c>
      <c r="B107" s="80" t="s">
        <v>356</v>
      </c>
      <c r="C107" s="73" t="s">
        <v>13</v>
      </c>
      <c r="D107" s="72"/>
      <c r="E107" s="70">
        <v>26.47</v>
      </c>
      <c r="F107" s="70">
        <v>27.18</v>
      </c>
      <c r="G107" s="70">
        <v>27.91</v>
      </c>
      <c r="H107" s="70">
        <v>28.66</v>
      </c>
    </row>
    <row r="108" spans="1:8" ht="16.5" thickBot="1" x14ac:dyDescent="0.2">
      <c r="A108" s="65" t="s">
        <v>361</v>
      </c>
      <c r="B108" s="80" t="s">
        <v>355</v>
      </c>
      <c r="C108" s="73" t="s">
        <v>13</v>
      </c>
      <c r="D108" s="72"/>
      <c r="E108" s="70">
        <v>47.43</v>
      </c>
      <c r="F108" s="70">
        <v>48.74</v>
      </c>
      <c r="G108" s="70">
        <v>50.08</v>
      </c>
      <c r="H108" s="70">
        <v>51.46</v>
      </c>
    </row>
    <row r="109" spans="1:8" ht="16.5" thickBot="1" x14ac:dyDescent="0.2">
      <c r="A109" s="65" t="s">
        <v>362</v>
      </c>
      <c r="B109" s="80" t="s">
        <v>354</v>
      </c>
      <c r="C109" s="73" t="s">
        <v>13</v>
      </c>
      <c r="D109" s="72"/>
      <c r="E109" s="70">
        <v>35.880000000000003</v>
      </c>
      <c r="F109" s="70">
        <v>36.85</v>
      </c>
      <c r="G109" s="70">
        <v>37.85</v>
      </c>
      <c r="H109" s="70">
        <v>38.869999999999997</v>
      </c>
    </row>
    <row r="110" spans="1:8" ht="16.5" thickBot="1" x14ac:dyDescent="0.2">
      <c r="A110" s="65" t="s">
        <v>363</v>
      </c>
      <c r="B110" s="80" t="s">
        <v>353</v>
      </c>
      <c r="C110" s="73" t="s">
        <v>13</v>
      </c>
      <c r="D110" s="123"/>
      <c r="E110" s="70">
        <v>50.47</v>
      </c>
      <c r="F110" s="70">
        <v>51.86</v>
      </c>
      <c r="G110" s="70">
        <v>53.28</v>
      </c>
      <c r="H110" s="70">
        <v>54.74</v>
      </c>
    </row>
    <row r="111" spans="1:8" ht="16.5" thickBot="1" x14ac:dyDescent="0.2">
      <c r="A111" s="65" t="s">
        <v>364</v>
      </c>
      <c r="B111" s="80" t="s">
        <v>352</v>
      </c>
      <c r="C111" s="73" t="s">
        <v>13</v>
      </c>
      <c r="D111" s="120"/>
      <c r="E111" s="70">
        <v>45.54</v>
      </c>
      <c r="F111" s="70">
        <v>46.75</v>
      </c>
      <c r="G111" s="70">
        <v>47.99</v>
      </c>
      <c r="H111" s="70">
        <v>49.26</v>
      </c>
    </row>
    <row r="112" spans="1:8" ht="16.5" thickBot="1" x14ac:dyDescent="0.2">
      <c r="A112" s="75"/>
      <c r="B112" s="79" t="s">
        <v>54</v>
      </c>
      <c r="C112" s="26"/>
      <c r="D112" s="46"/>
      <c r="E112" s="46"/>
      <c r="F112" s="46"/>
      <c r="G112" s="46"/>
      <c r="H112" s="46"/>
    </row>
    <row r="113" spans="1:8" ht="16.5" thickBot="1" x14ac:dyDescent="0.2">
      <c r="A113" s="76" t="s">
        <v>365</v>
      </c>
      <c r="B113" s="80" t="s">
        <v>197</v>
      </c>
      <c r="C113" s="84" t="s">
        <v>8</v>
      </c>
      <c r="D113" s="42">
        <f>ROUND(1300*1.025,2)</f>
        <v>1332.5</v>
      </c>
      <c r="E113" s="43">
        <f t="shared" si="2"/>
        <v>1365.81</v>
      </c>
      <c r="F113" s="44">
        <f t="shared" si="2"/>
        <v>1399.96</v>
      </c>
      <c r="G113" s="44">
        <f t="shared" si="2"/>
        <v>1434.96</v>
      </c>
      <c r="H113" s="44">
        <f t="shared" si="1"/>
        <v>1470.83</v>
      </c>
    </row>
    <row r="114" spans="1:8" ht="16.5" thickBot="1" x14ac:dyDescent="0.2">
      <c r="A114" s="76" t="s">
        <v>366</v>
      </c>
      <c r="B114" s="80" t="s">
        <v>198</v>
      </c>
      <c r="C114" s="84" t="s">
        <v>8</v>
      </c>
      <c r="D114" s="42">
        <f>ROUND(1630*1.025,2)</f>
        <v>1670.75</v>
      </c>
      <c r="E114" s="43">
        <f t="shared" si="2"/>
        <v>1712.52</v>
      </c>
      <c r="F114" s="44">
        <f t="shared" si="2"/>
        <v>1755.33</v>
      </c>
      <c r="G114" s="44">
        <f t="shared" si="2"/>
        <v>1799.21</v>
      </c>
      <c r="H114" s="44">
        <f t="shared" si="1"/>
        <v>1844.19</v>
      </c>
    </row>
    <row r="115" spans="1:8" ht="16.5" thickBot="1" x14ac:dyDescent="0.2">
      <c r="A115" s="76" t="s">
        <v>367</v>
      </c>
      <c r="B115" s="80" t="s">
        <v>215</v>
      </c>
      <c r="C115" s="84" t="s">
        <v>8</v>
      </c>
      <c r="D115" s="42">
        <f>ROUND(500*1.025,2)</f>
        <v>512.5</v>
      </c>
      <c r="E115" s="43">
        <f t="shared" si="2"/>
        <v>525.30999999999995</v>
      </c>
      <c r="F115" s="44">
        <f t="shared" si="2"/>
        <v>538.44000000000005</v>
      </c>
      <c r="G115" s="44">
        <f t="shared" si="2"/>
        <v>551.9</v>
      </c>
      <c r="H115" s="44">
        <f t="shared" si="1"/>
        <v>565.70000000000005</v>
      </c>
    </row>
    <row r="116" spans="1:8" ht="16.5" thickBot="1" x14ac:dyDescent="0.2">
      <c r="A116" s="76" t="s">
        <v>368</v>
      </c>
      <c r="B116" s="80" t="s">
        <v>216</v>
      </c>
      <c r="C116" s="84" t="s">
        <v>8</v>
      </c>
      <c r="D116" s="42">
        <f>ROUND(500*1.025,2)</f>
        <v>512.5</v>
      </c>
      <c r="E116" s="43">
        <f t="shared" si="2"/>
        <v>525.30999999999995</v>
      </c>
      <c r="F116" s="44">
        <f t="shared" si="2"/>
        <v>538.44000000000005</v>
      </c>
      <c r="G116" s="44">
        <f t="shared" si="2"/>
        <v>551.9</v>
      </c>
      <c r="H116" s="44">
        <f t="shared" si="1"/>
        <v>565.70000000000005</v>
      </c>
    </row>
    <row r="117" spans="1:8" ht="16.5" thickBot="1" x14ac:dyDescent="0.2">
      <c r="A117" s="76" t="s">
        <v>478</v>
      </c>
      <c r="B117" s="80" t="s">
        <v>55</v>
      </c>
      <c r="C117" s="84" t="s">
        <v>7</v>
      </c>
      <c r="D117" s="42">
        <f>ROUND(210*1.025,2)</f>
        <v>215.25</v>
      </c>
      <c r="E117" s="43">
        <f t="shared" si="2"/>
        <v>220.63</v>
      </c>
      <c r="F117" s="44">
        <f t="shared" si="2"/>
        <v>226.15</v>
      </c>
      <c r="G117" s="44">
        <f t="shared" si="2"/>
        <v>231.8</v>
      </c>
      <c r="H117" s="44">
        <f t="shared" si="1"/>
        <v>237.6</v>
      </c>
    </row>
    <row r="118" spans="1:8" ht="16.5" thickBot="1" x14ac:dyDescent="0.2">
      <c r="A118" s="76" t="s">
        <v>479</v>
      </c>
      <c r="B118" s="80" t="s">
        <v>56</v>
      </c>
      <c r="C118" s="84" t="s">
        <v>8</v>
      </c>
      <c r="D118" s="42">
        <f>ROUND(125*1.025,2)</f>
        <v>128.13</v>
      </c>
      <c r="E118" s="43">
        <f t="shared" si="2"/>
        <v>131.33000000000001</v>
      </c>
      <c r="F118" s="44">
        <f t="shared" si="2"/>
        <v>134.61000000000001</v>
      </c>
      <c r="G118" s="44">
        <f t="shared" si="2"/>
        <v>137.97999999999999</v>
      </c>
      <c r="H118" s="44">
        <f t="shared" si="1"/>
        <v>141.43</v>
      </c>
    </row>
    <row r="119" spans="1:8" ht="16.5" thickBot="1" x14ac:dyDescent="0.2">
      <c r="A119" s="76" t="s">
        <v>480</v>
      </c>
      <c r="B119" s="80" t="s">
        <v>57</v>
      </c>
      <c r="C119" s="84" t="s">
        <v>8</v>
      </c>
      <c r="D119" s="42">
        <f>ROUND(400*1.025,2)</f>
        <v>410</v>
      </c>
      <c r="E119" s="43">
        <f t="shared" si="2"/>
        <v>420.25</v>
      </c>
      <c r="F119" s="44">
        <f t="shared" si="2"/>
        <v>430.76</v>
      </c>
      <c r="G119" s="44">
        <f t="shared" si="2"/>
        <v>441.53</v>
      </c>
      <c r="H119" s="44">
        <f t="shared" si="1"/>
        <v>452.57</v>
      </c>
    </row>
    <row r="120" spans="1:8" ht="16.5" thickBot="1" x14ac:dyDescent="0.2">
      <c r="A120" s="76" t="s">
        <v>481</v>
      </c>
      <c r="B120" s="80" t="s">
        <v>217</v>
      </c>
      <c r="C120" s="84" t="s">
        <v>13</v>
      </c>
      <c r="D120" s="42">
        <f>ROUND(35.7*1.025,2)</f>
        <v>36.590000000000003</v>
      </c>
      <c r="E120" s="43">
        <f t="shared" si="2"/>
        <v>37.5</v>
      </c>
      <c r="F120" s="44">
        <f t="shared" si="2"/>
        <v>38.44</v>
      </c>
      <c r="G120" s="44">
        <f t="shared" si="2"/>
        <v>39.4</v>
      </c>
      <c r="H120" s="44">
        <f t="shared" si="1"/>
        <v>40.39</v>
      </c>
    </row>
    <row r="121" spans="1:8" ht="16.5" thickBot="1" x14ac:dyDescent="0.2">
      <c r="A121" s="76" t="s">
        <v>482</v>
      </c>
      <c r="B121" s="71" t="s">
        <v>218</v>
      </c>
      <c r="C121" s="73" t="s">
        <v>13</v>
      </c>
      <c r="D121" s="42">
        <f>ROUND(35.7*1.025,2)</f>
        <v>36.590000000000003</v>
      </c>
      <c r="E121" s="43">
        <f t="shared" si="2"/>
        <v>37.5</v>
      </c>
      <c r="F121" s="44">
        <f t="shared" si="2"/>
        <v>38.44</v>
      </c>
      <c r="G121" s="44">
        <f t="shared" si="2"/>
        <v>39.4</v>
      </c>
      <c r="H121" s="44">
        <f t="shared" si="1"/>
        <v>40.39</v>
      </c>
    </row>
    <row r="122" spans="1:8" ht="16.5" thickBot="1" x14ac:dyDescent="0.2">
      <c r="A122" s="76" t="s">
        <v>483</v>
      </c>
      <c r="B122" s="80" t="s">
        <v>58</v>
      </c>
      <c r="C122" s="84" t="s">
        <v>8</v>
      </c>
      <c r="D122" s="42">
        <f>ROUND(4930*1.025,2)</f>
        <v>5053.25</v>
      </c>
      <c r="E122" s="43">
        <f t="shared" si="2"/>
        <v>5179.58</v>
      </c>
      <c r="F122" s="44">
        <f t="shared" si="2"/>
        <v>5309.07</v>
      </c>
      <c r="G122" s="44">
        <f t="shared" si="2"/>
        <v>5441.8</v>
      </c>
      <c r="H122" s="44">
        <f t="shared" si="1"/>
        <v>5577.85</v>
      </c>
    </row>
    <row r="123" spans="1:8" s="118" customFormat="1" ht="16.5" thickBot="1" x14ac:dyDescent="0.2">
      <c r="A123" s="113" t="s">
        <v>484</v>
      </c>
      <c r="B123" s="96" t="s">
        <v>464</v>
      </c>
      <c r="C123" s="114"/>
      <c r="D123" s="115"/>
      <c r="E123" s="116"/>
      <c r="F123" s="117"/>
      <c r="G123" s="117"/>
      <c r="H123" s="117"/>
    </row>
    <row r="124" spans="1:8" ht="16.5" thickBot="1" x14ac:dyDescent="0.2">
      <c r="A124" s="76" t="s">
        <v>485</v>
      </c>
      <c r="B124" s="80" t="s">
        <v>59</v>
      </c>
      <c r="C124" s="84" t="s">
        <v>8</v>
      </c>
      <c r="D124" s="42">
        <f>ROUND(950*1.025,2)</f>
        <v>973.75</v>
      </c>
      <c r="E124" s="43">
        <f t="shared" si="2"/>
        <v>998.09</v>
      </c>
      <c r="F124" s="44">
        <f t="shared" si="2"/>
        <v>1023.04</v>
      </c>
      <c r="G124" s="44">
        <f t="shared" si="2"/>
        <v>1048.6199999999999</v>
      </c>
      <c r="H124" s="44">
        <f t="shared" si="1"/>
        <v>1074.8399999999999</v>
      </c>
    </row>
    <row r="125" spans="1:8" ht="16.5" thickBot="1" x14ac:dyDescent="0.2">
      <c r="A125" s="76" t="s">
        <v>486</v>
      </c>
      <c r="B125" s="80" t="s">
        <v>60</v>
      </c>
      <c r="C125" s="84" t="s">
        <v>8</v>
      </c>
      <c r="D125" s="42">
        <f>ROUND(750*1.025,2)</f>
        <v>768.75</v>
      </c>
      <c r="E125" s="43">
        <f t="shared" si="2"/>
        <v>787.97</v>
      </c>
      <c r="F125" s="44">
        <f t="shared" si="2"/>
        <v>807.67</v>
      </c>
      <c r="G125" s="44">
        <f t="shared" si="2"/>
        <v>827.86</v>
      </c>
      <c r="H125" s="44">
        <f t="shared" si="1"/>
        <v>848.56</v>
      </c>
    </row>
    <row r="126" spans="1:8" s="118" customFormat="1" ht="16.5" thickBot="1" x14ac:dyDescent="0.2">
      <c r="A126" s="113" t="s">
        <v>487</v>
      </c>
      <c r="B126" s="102" t="s">
        <v>468</v>
      </c>
      <c r="C126" s="114"/>
      <c r="D126" s="115"/>
      <c r="E126" s="116"/>
      <c r="F126" s="117"/>
      <c r="G126" s="117"/>
      <c r="H126" s="117"/>
    </row>
    <row r="127" spans="1:8" s="118" customFormat="1" ht="16.5" thickBot="1" x14ac:dyDescent="0.2">
      <c r="A127" s="113" t="s">
        <v>488</v>
      </c>
      <c r="B127" s="102" t="s">
        <v>469</v>
      </c>
      <c r="C127" s="114"/>
      <c r="D127" s="115"/>
      <c r="E127" s="116"/>
      <c r="F127" s="117"/>
      <c r="G127" s="117"/>
      <c r="H127" s="117"/>
    </row>
    <row r="128" spans="1:8" s="118" customFormat="1" ht="16.5" thickBot="1" x14ac:dyDescent="0.2">
      <c r="A128" s="113" t="s">
        <v>489</v>
      </c>
      <c r="B128" s="102" t="s">
        <v>470</v>
      </c>
      <c r="C128" s="114"/>
      <c r="D128" s="115"/>
      <c r="E128" s="116"/>
      <c r="F128" s="117"/>
      <c r="G128" s="117"/>
      <c r="H128" s="117"/>
    </row>
    <row r="129" spans="1:8" ht="16.5" thickBot="1" x14ac:dyDescent="0.2">
      <c r="A129" s="76" t="s">
        <v>490</v>
      </c>
      <c r="B129" s="80" t="s">
        <v>219</v>
      </c>
      <c r="C129" s="84" t="s">
        <v>6</v>
      </c>
      <c r="D129" s="42">
        <f>ROUND(15*1.025,2)</f>
        <v>15.38</v>
      </c>
      <c r="E129" s="43">
        <f t="shared" si="2"/>
        <v>15.76</v>
      </c>
      <c r="F129" s="44">
        <f t="shared" si="2"/>
        <v>16.149999999999999</v>
      </c>
      <c r="G129" s="44">
        <f t="shared" si="2"/>
        <v>16.55</v>
      </c>
      <c r="H129" s="44">
        <f t="shared" si="1"/>
        <v>16.96</v>
      </c>
    </row>
    <row r="130" spans="1:8" ht="16.5" thickBot="1" x14ac:dyDescent="0.2">
      <c r="A130" s="75"/>
      <c r="B130" s="81" t="s">
        <v>221</v>
      </c>
      <c r="C130" s="26"/>
      <c r="D130" s="46"/>
      <c r="E130" s="47"/>
      <c r="F130" s="48"/>
      <c r="G130" s="48"/>
      <c r="H130" s="48"/>
    </row>
    <row r="131" spans="1:8" ht="16.5" thickBot="1" x14ac:dyDescent="0.2">
      <c r="A131" s="76" t="s">
        <v>491</v>
      </c>
      <c r="B131" s="71" t="s">
        <v>220</v>
      </c>
      <c r="C131" s="73" t="s">
        <v>8</v>
      </c>
      <c r="D131" s="42">
        <f>ROUND(10000*1.025,2)</f>
        <v>10250</v>
      </c>
      <c r="E131" s="43">
        <v>10250</v>
      </c>
      <c r="F131" s="44">
        <v>10250</v>
      </c>
      <c r="G131" s="44">
        <v>10250</v>
      </c>
      <c r="H131" s="44">
        <v>10250</v>
      </c>
    </row>
    <row r="132" spans="1:8" ht="16.5" thickBot="1" x14ac:dyDescent="0.2">
      <c r="A132" s="76" t="s">
        <v>492</v>
      </c>
      <c r="B132" s="71" t="s">
        <v>157</v>
      </c>
      <c r="C132" s="73" t="s">
        <v>155</v>
      </c>
      <c r="D132" s="42">
        <f>ROUND(65*1.025,2)</f>
        <v>66.63</v>
      </c>
      <c r="E132" s="43">
        <v>66.63</v>
      </c>
      <c r="F132" s="49">
        <v>66.63</v>
      </c>
      <c r="G132" s="49">
        <v>66.63</v>
      </c>
      <c r="H132" s="49">
        <v>66.63</v>
      </c>
    </row>
    <row r="133" spans="1:8" s="118" customFormat="1" ht="16.5" thickBot="1" x14ac:dyDescent="0.2">
      <c r="A133" s="113" t="s">
        <v>493</v>
      </c>
      <c r="B133" s="96" t="s">
        <v>471</v>
      </c>
      <c r="C133" s="119"/>
      <c r="D133" s="115"/>
      <c r="E133" s="116"/>
      <c r="F133" s="116"/>
      <c r="G133" s="116"/>
      <c r="H133" s="116"/>
    </row>
    <row r="134" spans="1:8" ht="16.5" thickBot="1" x14ac:dyDescent="0.2">
      <c r="A134" s="78"/>
      <c r="B134" s="83"/>
      <c r="C134" s="88"/>
      <c r="D134" s="89"/>
      <c r="E134" s="69"/>
      <c r="F134" s="69"/>
      <c r="G134" s="69"/>
      <c r="H134" s="69"/>
    </row>
    <row r="135" spans="1:8" ht="16.5" thickBot="1" x14ac:dyDescent="0.3">
      <c r="A135" s="76" t="s">
        <v>494</v>
      </c>
      <c r="B135" s="71" t="s">
        <v>350</v>
      </c>
      <c r="C135" s="87" t="s">
        <v>9</v>
      </c>
      <c r="D135" s="74">
        <v>0.05</v>
      </c>
      <c r="E135" s="51">
        <v>0.05</v>
      </c>
      <c r="F135" s="52">
        <v>0.05</v>
      </c>
      <c r="G135" s="52">
        <v>0.05</v>
      </c>
      <c r="H135" s="52">
        <v>0.05</v>
      </c>
    </row>
    <row r="136" spans="1:8" ht="16.5" thickBot="1" x14ac:dyDescent="0.3">
      <c r="A136" s="76" t="s">
        <v>495</v>
      </c>
      <c r="B136" s="71" t="s">
        <v>5</v>
      </c>
      <c r="C136" s="73" t="s">
        <v>9</v>
      </c>
      <c r="D136" s="50">
        <v>0.05</v>
      </c>
      <c r="E136" s="53">
        <v>0.05</v>
      </c>
      <c r="F136" s="54">
        <v>0.05</v>
      </c>
      <c r="G136" s="54">
        <v>0.05</v>
      </c>
      <c r="H136" s="54">
        <v>0.05</v>
      </c>
    </row>
    <row r="137" spans="1:8" ht="16.5" thickBot="1" x14ac:dyDescent="0.3">
      <c r="A137" s="76" t="s">
        <v>496</v>
      </c>
      <c r="B137" s="71" t="s">
        <v>224</v>
      </c>
      <c r="C137" s="73" t="s">
        <v>9</v>
      </c>
      <c r="D137" s="50">
        <v>0.1</v>
      </c>
      <c r="E137" s="53">
        <v>0.1</v>
      </c>
      <c r="F137" s="54">
        <v>0.1</v>
      </c>
      <c r="G137" s="54">
        <v>0.1</v>
      </c>
      <c r="H137" s="54">
        <v>0.1</v>
      </c>
    </row>
    <row r="138" spans="1:8" ht="16.5" thickBot="1" x14ac:dyDescent="0.2">
      <c r="A138" s="75"/>
      <c r="B138" s="79" t="s">
        <v>222</v>
      </c>
      <c r="C138" s="26"/>
      <c r="D138" s="46"/>
      <c r="E138" s="47"/>
      <c r="F138" s="48"/>
      <c r="G138" s="48"/>
      <c r="H138" s="48"/>
    </row>
    <row r="139" spans="1:8" ht="16.5" thickBot="1" x14ac:dyDescent="0.2">
      <c r="A139" s="76" t="s">
        <v>497</v>
      </c>
      <c r="B139" s="71" t="s">
        <v>342</v>
      </c>
      <c r="C139" s="73" t="s">
        <v>8</v>
      </c>
      <c r="D139" s="42">
        <f>ROUND(5000,2)</f>
        <v>5000</v>
      </c>
      <c r="E139" s="43">
        <v>5000</v>
      </c>
      <c r="F139" s="44">
        <v>5000</v>
      </c>
      <c r="G139" s="44">
        <v>5000</v>
      </c>
      <c r="H139" s="44">
        <v>5000</v>
      </c>
    </row>
    <row r="140" spans="1:8" ht="16.5" thickBot="1" x14ac:dyDescent="0.2">
      <c r="A140" s="76" t="s">
        <v>498</v>
      </c>
      <c r="B140" s="71" t="s">
        <v>343</v>
      </c>
      <c r="C140" s="73" t="s">
        <v>8</v>
      </c>
      <c r="D140" s="42">
        <v>10000</v>
      </c>
      <c r="E140" s="43">
        <v>10000</v>
      </c>
      <c r="F140" s="44">
        <v>10000</v>
      </c>
      <c r="G140" s="44">
        <v>10000</v>
      </c>
      <c r="H140" s="44">
        <v>10000</v>
      </c>
    </row>
    <row r="141" spans="1:8" ht="16.5" thickBot="1" x14ac:dyDescent="0.2">
      <c r="A141" s="76" t="s">
        <v>499</v>
      </c>
      <c r="B141" s="71" t="s">
        <v>223</v>
      </c>
      <c r="C141" s="73" t="s">
        <v>8</v>
      </c>
      <c r="D141" s="49">
        <v>800</v>
      </c>
      <c r="E141" s="43">
        <v>800</v>
      </c>
      <c r="F141" s="44">
        <v>800</v>
      </c>
      <c r="G141" s="44">
        <v>800</v>
      </c>
      <c r="H141" s="44">
        <v>800</v>
      </c>
    </row>
    <row r="142" spans="1:8" x14ac:dyDescent="0.25">
      <c r="B142" s="1"/>
      <c r="C142" s="28"/>
      <c r="E142" s="1"/>
    </row>
    <row r="143" spans="1:8" x14ac:dyDescent="0.25">
      <c r="A143" s="2"/>
      <c r="B143" s="1"/>
      <c r="C143" s="28"/>
      <c r="E143" s="1"/>
    </row>
    <row r="144" spans="1:8" x14ac:dyDescent="0.25">
      <c r="A144" s="2"/>
      <c r="B144" s="1"/>
      <c r="C144" s="28"/>
      <c r="E144" s="1"/>
    </row>
    <row r="145" spans="1:5" x14ac:dyDescent="0.25">
      <c r="A145" s="2"/>
      <c r="B145" s="1"/>
      <c r="C145" s="28"/>
      <c r="E145" s="1"/>
    </row>
    <row r="146" spans="1:5" x14ac:dyDescent="0.25">
      <c r="A146" s="2"/>
      <c r="B146" s="1"/>
      <c r="C146" s="28"/>
      <c r="E146" s="1"/>
    </row>
    <row r="147" spans="1:5" x14ac:dyDescent="0.25">
      <c r="A147" s="2"/>
      <c r="B147" s="1"/>
      <c r="C147" s="28"/>
      <c r="E147" s="1"/>
    </row>
    <row r="148" spans="1:5" x14ac:dyDescent="0.25">
      <c r="A148" s="2"/>
      <c r="B148" s="1"/>
      <c r="C148" s="28"/>
      <c r="E148" s="1"/>
    </row>
    <row r="149" spans="1:5" x14ac:dyDescent="0.25">
      <c r="A149" s="2"/>
      <c r="B149" s="1"/>
      <c r="C149" s="28"/>
      <c r="E149" s="1"/>
    </row>
    <row r="150" spans="1:5" x14ac:dyDescent="0.25">
      <c r="A150" s="2"/>
      <c r="B150" s="1"/>
      <c r="C150" s="28"/>
      <c r="E150" s="1"/>
    </row>
    <row r="151" spans="1:5" x14ac:dyDescent="0.25">
      <c r="A151" s="2"/>
      <c r="B151" s="1"/>
      <c r="C151" s="28"/>
      <c r="E151" s="1"/>
    </row>
    <row r="152" spans="1:5" x14ac:dyDescent="0.25">
      <c r="A152" s="2"/>
      <c r="B152" s="1"/>
      <c r="C152" s="28"/>
      <c r="E152" s="1"/>
    </row>
    <row r="153" spans="1:5" x14ac:dyDescent="0.25">
      <c r="A153" s="2"/>
      <c r="B153" s="1"/>
      <c r="C153" s="28"/>
      <c r="E153" s="1"/>
    </row>
    <row r="154" spans="1:5" x14ac:dyDescent="0.25">
      <c r="A154" s="2"/>
      <c r="B154" s="1"/>
      <c r="C154" s="28"/>
      <c r="E154" s="1"/>
    </row>
    <row r="155" spans="1:5" x14ac:dyDescent="0.25">
      <c r="A155" s="2"/>
      <c r="B155" s="1"/>
      <c r="C155" s="28"/>
      <c r="E155" s="1"/>
    </row>
    <row r="156" spans="1:5" x14ac:dyDescent="0.25">
      <c r="A156" s="2"/>
      <c r="B156" s="1"/>
      <c r="C156" s="28"/>
      <c r="E156" s="1"/>
    </row>
    <row r="157" spans="1:5" x14ac:dyDescent="0.25">
      <c r="A157" s="2"/>
      <c r="B157" s="1"/>
      <c r="C157" s="28"/>
      <c r="E157" s="1"/>
    </row>
    <row r="158" spans="1:5" x14ac:dyDescent="0.25">
      <c r="A158" s="2"/>
      <c r="B158" s="1"/>
      <c r="C158" s="28"/>
      <c r="E158" s="1"/>
    </row>
    <row r="159" spans="1:5" x14ac:dyDescent="0.25">
      <c r="A159" s="2"/>
      <c r="B159" s="1"/>
      <c r="C159" s="28"/>
      <c r="E159" s="1"/>
    </row>
    <row r="160" spans="1:5" x14ac:dyDescent="0.25">
      <c r="A160" s="2"/>
      <c r="B160" s="1"/>
      <c r="C160" s="28"/>
      <c r="E160" s="1"/>
    </row>
    <row r="161" spans="1:5" x14ac:dyDescent="0.25">
      <c r="A161" s="2"/>
      <c r="B161" s="1"/>
      <c r="C161" s="28"/>
      <c r="E161" s="1"/>
    </row>
    <row r="162" spans="1:5" x14ac:dyDescent="0.25">
      <c r="A162" s="2"/>
      <c r="B162" s="1"/>
      <c r="C162" s="28"/>
      <c r="E162" s="1"/>
    </row>
    <row r="163" spans="1:5" x14ac:dyDescent="0.25">
      <c r="A163" s="2"/>
      <c r="B163" s="1"/>
      <c r="C163" s="28"/>
      <c r="E163" s="1"/>
    </row>
    <row r="164" spans="1:5" x14ac:dyDescent="0.25">
      <c r="A164" s="2"/>
      <c r="B164" s="1"/>
      <c r="C164" s="28"/>
      <c r="E164" s="1"/>
    </row>
    <row r="165" spans="1:5" x14ac:dyDescent="0.25">
      <c r="B165" s="1"/>
      <c r="C165" s="28"/>
      <c r="E165" s="1"/>
    </row>
    <row r="166" spans="1:5" x14ac:dyDescent="0.25">
      <c r="B166" s="1"/>
      <c r="C166" s="28"/>
      <c r="E166" s="1"/>
    </row>
    <row r="167" spans="1:5" x14ac:dyDescent="0.25">
      <c r="B167" s="1"/>
      <c r="C167" s="28"/>
      <c r="E167" s="1"/>
    </row>
    <row r="168" spans="1:5" x14ac:dyDescent="0.25">
      <c r="B168" s="1"/>
      <c r="C168" s="28"/>
      <c r="E168" s="1"/>
    </row>
    <row r="169" spans="1:5" x14ac:dyDescent="0.25">
      <c r="B169" s="1"/>
      <c r="C169" s="28"/>
      <c r="E169" s="1"/>
    </row>
    <row r="170" spans="1:5" x14ac:dyDescent="0.25">
      <c r="B170" s="1"/>
      <c r="C170" s="28"/>
      <c r="E170" s="1"/>
    </row>
    <row r="171" spans="1:5" x14ac:dyDescent="0.25">
      <c r="B171" s="1"/>
      <c r="C171" s="28"/>
      <c r="E171" s="1"/>
    </row>
    <row r="172" spans="1:5" x14ac:dyDescent="0.25">
      <c r="B172" s="1"/>
      <c r="C172" s="28"/>
      <c r="E172" s="1"/>
    </row>
    <row r="173" spans="1:5" x14ac:dyDescent="0.25">
      <c r="B173" s="1"/>
      <c r="C173" s="28"/>
      <c r="E173" s="1"/>
    </row>
  </sheetData>
  <phoneticPr fontId="1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AE854CF661134CB2F6F143A05627B5" ma:contentTypeVersion="4" ma:contentTypeDescription="Create a new document." ma:contentTypeScope="" ma:versionID="d6e49144825bdcf0092930cd5e65ebd9">
  <xsd:schema xmlns:xsd="http://www.w3.org/2001/XMLSchema" xmlns:xs="http://www.w3.org/2001/XMLSchema" xmlns:p="http://schemas.microsoft.com/office/2006/metadata/properties" xmlns:ns2="82aca001-44a5-4ddd-88ae-0922ada7da9f" targetNamespace="http://schemas.microsoft.com/office/2006/metadata/properties" ma:root="true" ma:fieldsID="33a8e70a1075bd13b3add8040492b78f" ns2:_="">
    <xsd:import namespace="82aca001-44a5-4ddd-88ae-0922ada7da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a001-44a5-4ddd-88ae-0922ada7d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51A94D-84E4-40BA-AEDB-AFC15B22ED93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2aca001-44a5-4ddd-88ae-0922ada7da9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CD11FA-51FF-430B-8DBF-39D482914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ca001-44a5-4ddd-88ae-0922ada7d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1B6A9-3E65-42B6-901B-4F97E9ED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Paving Summary</vt:lpstr>
      <vt:lpstr>OP1</vt:lpstr>
      <vt:lpstr>Ordering Period Prices</vt:lpstr>
    </vt:vector>
  </TitlesOfParts>
  <Company>U.S. Air Force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Sean.Fahey</dc:creator>
  <cp:lastModifiedBy>Parker, Stefan (CONTR)</cp:lastModifiedBy>
  <cp:lastPrinted>2022-09-07T20:17:07Z</cp:lastPrinted>
  <dcterms:created xsi:type="dcterms:W3CDTF">2009-10-09T16:23:46Z</dcterms:created>
  <dcterms:modified xsi:type="dcterms:W3CDTF">2026-07-08T14:04:59Z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0x01010031AE854CF661134CB2F6F143A05627B5</vt:lpwstr>
  </property>
</Properties>
</file>